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/>
  <mc:AlternateContent xmlns:mc="http://schemas.openxmlformats.org/markup-compatibility/2006">
    <mc:Choice Requires="x15">
      <x15ac:absPath xmlns:x15ac="http://schemas.microsoft.com/office/spreadsheetml/2010/11/ac" url="https://netorgft1251465-my.sharepoint.com/personal/eric_robinson_lumenfocus_com/Documents/Documents/Website/Room Estimator/Room Estimator Excel Files/"/>
    </mc:Choice>
  </mc:AlternateContent>
  <xr:revisionPtr revIDLastSave="2" documentId="8_{7ADB3D18-5BC8-4C1A-8992-B163C9AA2E09}" xr6:coauthVersionLast="33" xr6:coauthVersionMax="33" xr10:uidLastSave="{E7327F17-8CFD-4695-8345-C747C1CF62D4}"/>
  <bookViews>
    <workbookView xWindow="0" yWindow="0" windowWidth="22500" windowHeight="12255" xr2:uid="{00000000-000D-0000-FFFF-FFFF00000000}"/>
  </bookViews>
  <sheets>
    <sheet name="FFR" sheetId="5" r:id="rId1"/>
  </sheets>
  <definedNames>
    <definedName name="_xlnm.Print_Area" localSheetId="0">FFR!$A$1:$BK$55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F29" i="5" l="1"/>
  <c r="BE29" i="5"/>
  <c r="BD29" i="5"/>
  <c r="BC29" i="5"/>
  <c r="BB29" i="5"/>
  <c r="BA29" i="5"/>
  <c r="AZ29" i="5"/>
  <c r="AY29" i="5"/>
  <c r="AX29" i="5"/>
  <c r="AW29" i="5"/>
  <c r="AV29" i="5"/>
  <c r="AU29" i="5"/>
  <c r="AT29" i="5"/>
  <c r="AS29" i="5"/>
  <c r="AR29" i="5"/>
  <c r="AO29" i="5"/>
  <c r="AN29" i="5"/>
  <c r="AM29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O28" i="5"/>
  <c r="AN28" i="5"/>
  <c r="AM28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 a="1"/>
  <c r="J28" i="5" s="1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 a="1"/>
  <c r="J27" i="5" s="1"/>
  <c r="BF26" i="5"/>
  <c r="BE26" i="5"/>
  <c r="BD26" i="5"/>
  <c r="BC26" i="5"/>
  <c r="BB26" i="5"/>
  <c r="BA26" i="5"/>
  <c r="AZ26" i="5"/>
  <c r="AY26" i="5"/>
  <c r="AX26" i="5"/>
  <c r="AW26" i="5"/>
  <c r="AV26" i="5"/>
  <c r="AU26" i="5"/>
  <c r="AT26" i="5"/>
  <c r="AS26" i="5"/>
  <c r="AR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C23" i="5"/>
  <c r="C22" i="5"/>
  <c r="E21" i="5"/>
  <c r="C26" i="5" s="1"/>
  <c r="C16" i="5"/>
  <c r="BF30" i="5" s="1"/>
  <c r="C13" i="5"/>
  <c r="BF25" i="5" l="1"/>
  <c r="L77" i="5" s="1"/>
  <c r="C34" i="5"/>
  <c r="C25" i="5"/>
  <c r="E44" i="5" s="1"/>
  <c r="F44" i="5" s="1"/>
  <c r="O30" i="5"/>
  <c r="O25" i="5" s="1"/>
  <c r="L38" i="5" s="1"/>
  <c r="W30" i="5"/>
  <c r="W25" i="5" s="1"/>
  <c r="L46" i="5" s="1"/>
  <c r="AG30" i="5"/>
  <c r="AG25" i="5" s="1"/>
  <c r="L54" i="5" s="1"/>
  <c r="AO30" i="5"/>
  <c r="AO25" i="5" s="1"/>
  <c r="L62" i="5" s="1"/>
  <c r="AY30" i="5"/>
  <c r="AY25" i="5" s="1"/>
  <c r="L70" i="5" s="1"/>
  <c r="P30" i="5"/>
  <c r="P25" i="5" s="1"/>
  <c r="L39" i="5" s="1"/>
  <c r="X30" i="5"/>
  <c r="X25" i="5" s="1"/>
  <c r="L47" i="5" s="1"/>
  <c r="AH30" i="5"/>
  <c r="AH25" i="5" s="1"/>
  <c r="L55" i="5" s="1"/>
  <c r="AR30" i="5"/>
  <c r="AR25" i="5" s="1"/>
  <c r="L63" i="5" s="1"/>
  <c r="AZ30" i="5"/>
  <c r="AZ25" i="5" s="1"/>
  <c r="L71" i="5" s="1"/>
  <c r="C33" i="5"/>
  <c r="Q30" i="5"/>
  <c r="Q25" i="5" s="1"/>
  <c r="L40" i="5" s="1"/>
  <c r="AA30" i="5"/>
  <c r="AA25" i="5" s="1"/>
  <c r="L48" i="5" s="1"/>
  <c r="AI30" i="5"/>
  <c r="AI25" i="5" s="1"/>
  <c r="L56" i="5" s="1"/>
  <c r="AS30" i="5"/>
  <c r="AS25" i="5" s="1"/>
  <c r="L64" i="5" s="1"/>
  <c r="BA30" i="5"/>
  <c r="BA25" i="5" s="1"/>
  <c r="L72" i="5" s="1"/>
  <c r="J30" i="5"/>
  <c r="J25" i="5" s="1"/>
  <c r="L33" i="5" s="1"/>
  <c r="R30" i="5"/>
  <c r="R25" i="5" s="1"/>
  <c r="L41" i="5" s="1"/>
  <c r="AB30" i="5"/>
  <c r="AB25" i="5" s="1"/>
  <c r="L49" i="5" s="1"/>
  <c r="AJ30" i="5"/>
  <c r="AJ25" i="5" s="1"/>
  <c r="L57" i="5" s="1"/>
  <c r="AT30" i="5"/>
  <c r="AT25" i="5" s="1"/>
  <c r="L65" i="5" s="1"/>
  <c r="BB30" i="5"/>
  <c r="BB25" i="5" s="1"/>
  <c r="L73" i="5" s="1"/>
  <c r="K30" i="5"/>
  <c r="K25" i="5" s="1"/>
  <c r="L34" i="5" s="1"/>
  <c r="S30" i="5"/>
  <c r="S25" i="5" s="1"/>
  <c r="L42" i="5" s="1"/>
  <c r="AC30" i="5"/>
  <c r="AC25" i="5" s="1"/>
  <c r="L50" i="5" s="1"/>
  <c r="AK30" i="5"/>
  <c r="AK25" i="5" s="1"/>
  <c r="L58" i="5" s="1"/>
  <c r="AU30" i="5"/>
  <c r="AU25" i="5" s="1"/>
  <c r="L66" i="5" s="1"/>
  <c r="BC30" i="5"/>
  <c r="BC25" i="5" s="1"/>
  <c r="L74" i="5" s="1"/>
  <c r="L30" i="5"/>
  <c r="L25" i="5" s="1"/>
  <c r="L35" i="5" s="1"/>
  <c r="T30" i="5"/>
  <c r="T25" i="5" s="1"/>
  <c r="L43" i="5" s="1"/>
  <c r="AD30" i="5"/>
  <c r="AD25" i="5" s="1"/>
  <c r="L51" i="5" s="1"/>
  <c r="AL30" i="5"/>
  <c r="AL25" i="5" s="1"/>
  <c r="L59" i="5" s="1"/>
  <c r="AV30" i="5"/>
  <c r="AV25" i="5" s="1"/>
  <c r="L67" i="5" s="1"/>
  <c r="BD30" i="5"/>
  <c r="BD25" i="5" s="1"/>
  <c r="L75" i="5" s="1"/>
  <c r="M30" i="5"/>
  <c r="M25" i="5" s="1"/>
  <c r="L36" i="5" s="1"/>
  <c r="U30" i="5"/>
  <c r="U25" i="5" s="1"/>
  <c r="L44" i="5" s="1"/>
  <c r="AE30" i="5"/>
  <c r="AE25" i="5" s="1"/>
  <c r="L52" i="5" s="1"/>
  <c r="C24" i="5" s="1" a="1"/>
  <c r="C24" i="5" s="1"/>
  <c r="AM30" i="5"/>
  <c r="AM25" i="5" s="1"/>
  <c r="L60" i="5" s="1"/>
  <c r="AW30" i="5"/>
  <c r="AW25" i="5" s="1"/>
  <c r="L68" i="5" s="1"/>
  <c r="BE30" i="5"/>
  <c r="BE25" i="5" s="1"/>
  <c r="L76" i="5" s="1"/>
  <c r="N30" i="5"/>
  <c r="N25" i="5" s="1"/>
  <c r="L37" i="5" s="1"/>
  <c r="V30" i="5"/>
  <c r="V25" i="5" s="1"/>
  <c r="L45" i="5" s="1"/>
  <c r="AF30" i="5"/>
  <c r="AF25" i="5" s="1"/>
  <c r="L53" i="5" s="1"/>
  <c r="AN30" i="5"/>
  <c r="AN25" i="5" s="1"/>
  <c r="L61" i="5" s="1"/>
  <c r="AX30" i="5"/>
  <c r="AX25" i="5" s="1"/>
  <c r="L69" i="5" s="1"/>
  <c r="E45" i="5" l="1"/>
  <c r="F45" i="5" s="1"/>
  <c r="E38" i="5"/>
  <c r="C32" i="5"/>
  <c r="C40" i="5" l="1"/>
  <c r="E39" i="5" l="1"/>
  <c r="E40" i="5"/>
  <c r="C45" i="5"/>
  <c r="C47" i="5" s="1"/>
  <c r="E41" i="5" l="1"/>
  <c r="C39" i="5" s="1"/>
  <c r="C44" i="5" s="1"/>
  <c r="C41" i="5" l="1"/>
  <c r="C42" i="5" s="1"/>
  <c r="C46" i="5"/>
  <c r="C48" i="5" l="1"/>
  <c r="C49" i="5" s="1"/>
</calcChain>
</file>

<file path=xl/sharedStrings.xml><?xml version="1.0" encoding="utf-8"?>
<sst xmlns="http://schemas.openxmlformats.org/spreadsheetml/2006/main" count="280" uniqueCount="163">
  <si>
    <t>Work Plane</t>
  </si>
  <si>
    <t>fc</t>
  </si>
  <si>
    <t>Luminaire Height</t>
  </si>
  <si>
    <t>Coefficient of Utilization</t>
  </si>
  <si>
    <t>Room Cavity Ratio (RCR)</t>
  </si>
  <si>
    <t>ceiling reflectance (rc)</t>
  </si>
  <si>
    <t>wall reflectance (rw)</t>
  </si>
  <si>
    <t>floor reflectance (rf)</t>
  </si>
  <si>
    <t>ft</t>
  </si>
  <si>
    <t>Area:</t>
  </si>
  <si>
    <t># luminaires</t>
  </si>
  <si>
    <t>RC</t>
  </si>
  <si>
    <t>RW</t>
  </si>
  <si>
    <t>CU</t>
  </si>
  <si>
    <t>RCR</t>
  </si>
  <si>
    <t>RF</t>
  </si>
  <si>
    <t>CU1</t>
  </si>
  <si>
    <t>CU2</t>
  </si>
  <si>
    <t>CU3</t>
  </si>
  <si>
    <t>CU4</t>
  </si>
  <si>
    <t>CU5</t>
  </si>
  <si>
    <t>CU6</t>
  </si>
  <si>
    <t>CU7</t>
  </si>
  <si>
    <t>CU8</t>
  </si>
  <si>
    <t>CU9</t>
  </si>
  <si>
    <t>CU11</t>
  </si>
  <si>
    <t>CU10</t>
  </si>
  <si>
    <t>CU12</t>
  </si>
  <si>
    <t>CU13</t>
  </si>
  <si>
    <t>CU14</t>
  </si>
  <si>
    <t>Lumens</t>
  </si>
  <si>
    <t>Watts</t>
  </si>
  <si>
    <t>Model</t>
  </si>
  <si>
    <t>Room Area</t>
  </si>
  <si>
    <r>
      <t>ft</t>
    </r>
    <r>
      <rPr>
        <vertAlign val="superscript"/>
        <sz val="11"/>
        <color theme="1"/>
        <rFont val="Calibri"/>
        <family val="2"/>
        <scheme val="minor"/>
      </rPr>
      <t>2</t>
    </r>
  </si>
  <si>
    <t>LPD</t>
  </si>
  <si>
    <r>
      <t>W/ft</t>
    </r>
    <r>
      <rPr>
        <vertAlign val="superscript"/>
        <sz val="11"/>
        <color theme="1"/>
        <rFont val="Calibri"/>
        <family val="2"/>
        <scheme val="minor"/>
      </rPr>
      <t>2</t>
    </r>
  </si>
  <si>
    <t>Luminaire:</t>
  </si>
  <si>
    <t>Estimated Light Level</t>
  </si>
  <si>
    <t>Room Estimator</t>
  </si>
  <si>
    <t>Desired Light Level</t>
  </si>
  <si>
    <t>Room Length (x)</t>
  </si>
  <si>
    <t>Room Width (y)</t>
  </si>
  <si>
    <t># Fixtures (x)</t>
  </si>
  <si>
    <t># Fixtures (y)</t>
  </si>
  <si>
    <t>Total # of Luminaires</t>
  </si>
  <si>
    <t>Light Loss Factor (LLF)</t>
  </si>
  <si>
    <t>Estimated Light Levels Based on Known Quantity</t>
  </si>
  <si>
    <t>Estimated Luminaire Layout Based on Target Light Levels:</t>
  </si>
  <si>
    <t>Fixture Spacing (x)</t>
  </si>
  <si>
    <t>Fixture Spacing (y)</t>
  </si>
  <si>
    <t>Total Watts</t>
  </si>
  <si>
    <t>lm</t>
  </si>
  <si>
    <t>W</t>
  </si>
  <si>
    <r>
      <t>Spacing Criteria (0-180</t>
    </r>
    <r>
      <rPr>
        <sz val="11"/>
        <color theme="1"/>
        <rFont val="Calibri"/>
        <family val="2"/>
      </rPr>
      <t>°)</t>
    </r>
  </si>
  <si>
    <r>
      <t>Spacing Criteria (90-270</t>
    </r>
    <r>
      <rPr>
        <sz val="11"/>
        <color theme="1"/>
        <rFont val="Calibri"/>
        <family val="2"/>
      </rPr>
      <t>°)</t>
    </r>
  </si>
  <si>
    <t>0-180</t>
  </si>
  <si>
    <t>90-270</t>
  </si>
  <si>
    <t>Fixture Orientation</t>
  </si>
  <si>
    <t>Orientation</t>
  </si>
  <si>
    <t>deg</t>
  </si>
  <si>
    <t>* The above calculations are a rough estimate only.  Actual results may vary depending on field conditions.  LumenFocus makes no warranties as to the performance predicted by the above calculations.  Please contact your LumenFocus representative for a more detailed photometric analysis.</t>
  </si>
  <si>
    <t>Size</t>
  </si>
  <si>
    <t>y</t>
  </si>
  <si>
    <t>c3</t>
  </si>
  <si>
    <t>c2</t>
  </si>
  <si>
    <t>c1</t>
  </si>
  <si>
    <t>b</t>
  </si>
  <si>
    <t>x</t>
  </si>
  <si>
    <t>FFR 24 SL UV FA 830</t>
  </si>
  <si>
    <t>FFR 24 VL UV FA 830</t>
  </si>
  <si>
    <t>FFR 24 LW UV FA 830</t>
  </si>
  <si>
    <t>FFR 24 ML UV FA 830</t>
  </si>
  <si>
    <t>FFR 24 MD UV FA 830</t>
  </si>
  <si>
    <t>FFR 24 HI UV FA 830</t>
  </si>
  <si>
    <t>FFR 24 VH UV FA 830</t>
  </si>
  <si>
    <t>FFR 24 SH UV FA 830</t>
  </si>
  <si>
    <t>FFR 22 SL UV FA 830</t>
  </si>
  <si>
    <t>FFR 22 VL UV FA 830</t>
  </si>
  <si>
    <t>FFR 22 LW UV FA 830</t>
  </si>
  <si>
    <t>FFR 22 MD UV FA 830</t>
  </si>
  <si>
    <t>FFR 22 HI UV FA 830</t>
  </si>
  <si>
    <t>FFR 14 SL UV FA 830</t>
  </si>
  <si>
    <t>FFR 14 VL UV FA 830</t>
  </si>
  <si>
    <t>FFR 14 LW UV FA 830</t>
  </si>
  <si>
    <t>FFR 14 MD UV FA 830</t>
  </si>
  <si>
    <t>FFR 14 HI UV FA 830</t>
  </si>
  <si>
    <t>FFR 24 SL UV FA 835</t>
  </si>
  <si>
    <t>FFR 24 VL UV FA 835</t>
  </si>
  <si>
    <t>FFR 24 LW UV FA 835</t>
  </si>
  <si>
    <t>FFR 24 ML UV FA 835</t>
  </si>
  <si>
    <t>FFR 24 MD UV FA 835</t>
  </si>
  <si>
    <t>FFR 24 HI UV FA 835</t>
  </si>
  <si>
    <t>FFR 24 VH UV FA 835</t>
  </si>
  <si>
    <t>FFR 24 SH UV FA 835</t>
  </si>
  <si>
    <t>FFR 22 SL UV FA 835</t>
  </si>
  <si>
    <t>FFR 22 VL UV FA 835</t>
  </si>
  <si>
    <t>FFR 22 LW UV FA 835</t>
  </si>
  <si>
    <t>FFR 22 MD UV FA 835</t>
  </si>
  <si>
    <t>FFR 22 HI UV FA 835</t>
  </si>
  <si>
    <t>FFR 14 SL UV FA 835</t>
  </si>
  <si>
    <t>FFR 14 VL UV FA 835</t>
  </si>
  <si>
    <t>FFR 14 LW UV FA 835</t>
  </si>
  <si>
    <t>FFR 14 MD UV FA 835</t>
  </si>
  <si>
    <t>FFR 14 HI UV FA 835</t>
  </si>
  <si>
    <t>FFR 24 SL UV FA 840</t>
  </si>
  <si>
    <t>FFR 24 VL UV FA 840</t>
  </si>
  <si>
    <t>FFR 24 LW UV FA 840</t>
  </si>
  <si>
    <t>FFR 14T SL UV FA 830</t>
  </si>
  <si>
    <t>FFR 14T VL UV FA 830</t>
  </si>
  <si>
    <t>FFR 14T LW UV FA 830</t>
  </si>
  <si>
    <t>FFR 14T MD UV FA 830</t>
  </si>
  <si>
    <t>FFR 14T SL UV FA 835</t>
  </si>
  <si>
    <t>FFR 14T VL UV FA 835</t>
  </si>
  <si>
    <t>FFR 14T LW UV FA 835</t>
  </si>
  <si>
    <t>FFR 14T MD UV FA 835</t>
  </si>
  <si>
    <t>FFR 24 SL UV FA 850</t>
  </si>
  <si>
    <t>FFR 14T MD UV FA 840</t>
  </si>
  <si>
    <t>FFR 14T LW UV FA 840</t>
  </si>
  <si>
    <t>FFR 14T VL UV FA 840</t>
  </si>
  <si>
    <t>FFR 14T SL UV FA 840</t>
  </si>
  <si>
    <t>FFR 14 HI UV FA 840</t>
  </si>
  <si>
    <t>FFR 14 MD UV FA 840</t>
  </si>
  <si>
    <t>FFR 14 LW UV FA 840</t>
  </si>
  <si>
    <t>FFR 14 VL UV FA 840</t>
  </si>
  <si>
    <t>FFR 14 SL UV FA 840</t>
  </si>
  <si>
    <t>FFR 22 HI UV FA 840</t>
  </si>
  <si>
    <t>FFR 22 MD UV FA 840</t>
  </si>
  <si>
    <t>FFR 22 LW UV FA 840</t>
  </si>
  <si>
    <t>FFR 22 VL UV FA 840</t>
  </si>
  <si>
    <t>FFR 22 SL UV FA 840</t>
  </si>
  <si>
    <t>FFR 24 SH UV FA 840</t>
  </si>
  <si>
    <t>FFR 24 VH UV FA 840</t>
  </si>
  <si>
    <t>FFR 24 HI UV FA 840</t>
  </si>
  <si>
    <t>FFR 24 MD UV FA 840</t>
  </si>
  <si>
    <t>FFR 24 ML UV FA 840</t>
  </si>
  <si>
    <t>FFR 24 VL UV FA 850</t>
  </si>
  <si>
    <t>FFR 24 LW UV FA 850</t>
  </si>
  <si>
    <t>FFR 24 ML UV FA 850</t>
  </si>
  <si>
    <t>FFR 24 MD UV FA 850</t>
  </si>
  <si>
    <t>FFR 24 HI UV FA 850</t>
  </si>
  <si>
    <t>FFR 24 VH UV FA 850</t>
  </si>
  <si>
    <t>FFR 24 SH UV FA 850</t>
  </si>
  <si>
    <t>FFR 22 SL UV FA 850</t>
  </si>
  <si>
    <t>FFR 22 VL UV FA 850</t>
  </si>
  <si>
    <t>FFR 22 LW UV FA 850</t>
  </si>
  <si>
    <t>FFR 22 MD UV FA 850</t>
  </si>
  <si>
    <t>FFR 22 HI UV FA 850</t>
  </si>
  <si>
    <t>FFR 14 SL UV FA 850</t>
  </si>
  <si>
    <t>FFR 14 VL UV FA 850</t>
  </si>
  <si>
    <t>FFR 14 LW UV FA 850</t>
  </si>
  <si>
    <t>FFR 14 MD UV FA 850</t>
  </si>
  <si>
    <t>FFR 14 HI UV FA 850</t>
  </si>
  <si>
    <t>FFR 14T SL UV FA 850</t>
  </si>
  <si>
    <t>FFR 14T VL UV FA 850</t>
  </si>
  <si>
    <t>FFR 14T LW UV FA 850</t>
  </si>
  <si>
    <t>FFR 14T MD UV FA 850</t>
  </si>
  <si>
    <t>FFR Form Focus Lay-In Retrofit Kit</t>
  </si>
  <si>
    <t>Project Name:</t>
  </si>
  <si>
    <t>Project Location:</t>
  </si>
  <si>
    <t>Project #:</t>
  </si>
  <si>
    <t>Wall Spacing (x)</t>
  </si>
  <si>
    <t>Wall Spacing (y)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</si>
</sst>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"/>
    <numFmt numFmtId="166" formatCode="0.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</borders>
  <cellStyleXfs count="1">
    <xf numFmtId="0" fontId="0" fillId="0" borderId="0"/>
  </cellStyleXfs>
  <cellXfs count="32">
    <xf numFmtId="0" fontId="0" fillId="0" borderId="0" xfId="0"/>
    <xf numFmtId="164" fontId="0" fillId="0" borderId="0" xfId="0" applyNumberFormat="1"/>
    <xf numFmtId="0" fontId="1" fillId="0" borderId="0" xfId="0" applyFont="1"/>
    <xf numFmtId="0" fontId="0" fillId="0" borderId="0" xfId="0" applyBorder="1"/>
    <xf numFmtId="0" fontId="0" fillId="0" borderId="0" xfId="0" applyFill="1" applyBorder="1"/>
    <xf numFmtId="1" fontId="0" fillId="0" borderId="0" xfId="0" applyNumberFormat="1"/>
    <xf numFmtId="3" fontId="0" fillId="0" borderId="0" xfId="0" applyNumberFormat="1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4" fillId="0" borderId="3" xfId="0" applyFont="1" applyFill="1" applyBorder="1"/>
    <xf numFmtId="0" fontId="4" fillId="0" borderId="4" xfId="0" applyFont="1" applyFill="1" applyBorder="1"/>
    <xf numFmtId="0" fontId="4" fillId="0" borderId="5" xfId="0" applyFont="1" applyFill="1" applyBorder="1"/>
    <xf numFmtId="0" fontId="5" fillId="0" borderId="0" xfId="0" applyFont="1"/>
    <xf numFmtId="2" fontId="0" fillId="0" borderId="0" xfId="0" applyNumberFormat="1"/>
    <xf numFmtId="0" fontId="0" fillId="3" borderId="0" xfId="0" applyFill="1"/>
    <xf numFmtId="0" fontId="0" fillId="0" borderId="0" xfId="0" applyFill="1"/>
    <xf numFmtId="3" fontId="0" fillId="0" borderId="2" xfId="0" applyNumberFormat="1" applyFill="1" applyBorder="1"/>
    <xf numFmtId="165" fontId="0" fillId="0" borderId="0" xfId="0" applyNumberFormat="1"/>
    <xf numFmtId="166" fontId="0" fillId="0" borderId="0" xfId="0" applyNumberFormat="1"/>
    <xf numFmtId="0" fontId="7" fillId="0" borderId="0" xfId="0" applyFont="1" applyFill="1" applyBorder="1"/>
    <xf numFmtId="1" fontId="7" fillId="0" borderId="0" xfId="0" applyNumberFormat="1" applyFont="1" applyFill="1" applyBorder="1" applyAlignment="1">
      <alignment horizontal="center"/>
    </xf>
    <xf numFmtId="0" fontId="0" fillId="2" borderId="1" xfId="0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6" fillId="0" borderId="0" xfId="0" applyFont="1" applyAlignment="1">
      <alignment vertical="top" wrapText="1"/>
    </xf>
    <xf numFmtId="164" fontId="0" fillId="0" borderId="0" xfId="0" applyNumberFormat="1" applyFill="1"/>
    <xf numFmtId="0" fontId="5" fillId="4" borderId="0" xfId="0" applyFont="1" applyFill="1"/>
    <xf numFmtId="0" fontId="0" fillId="4" borderId="0" xfId="0" applyFill="1"/>
    <xf numFmtId="1" fontId="0" fillId="4" borderId="0" xfId="0" applyNumberFormat="1" applyFill="1"/>
    <xf numFmtId="164" fontId="0" fillId="4" borderId="0" xfId="0" applyNumberFormat="1" applyFill="1"/>
    <xf numFmtId="0" fontId="6" fillId="0" borderId="0" xfId="0" applyFont="1" applyAlignment="1">
      <alignment horizontal="left" vertical="top" wrapText="1"/>
    </xf>
    <xf numFmtId="0" fontId="0" fillId="2" borderId="1" xfId="0" applyFill="1" applyBorder="1" applyAlignment="1" applyProtection="1">
      <alignment horizontal="left"/>
      <protection locked="0"/>
    </xf>
  </cellXfs>
  <cellStyles count="1">
    <cellStyle name="Normal" xfId="0" builtinId="0"/>
  </cellStyles>
  <dxfs count="13">
    <dxf>
      <border outline="0">
        <top style="thin">
          <color rgb="FF9BC2E6"/>
        </top>
      </border>
    </dxf>
    <dxf>
      <border outline="0">
        <bottom style="thin">
          <color rgb="FF9BC2E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border outline="0">
        <top style="thin">
          <color rgb="FF9BC2E6"/>
        </top>
      </border>
    </dxf>
    <dxf>
      <border outline="0">
        <bottom style="thin">
          <color rgb="FF9BC2E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FFR!$J$12</c:f>
              <c:strCache>
                <c:ptCount val="1"/>
                <c:pt idx="0">
                  <c:v>CU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29817172510712919"/>
                  <c:y val="-0.3019455930588797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FFR!$J$13:$J$23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796-4FFA-8AEA-E05D553B3412}"/>
            </c:ext>
          </c:extLst>
        </c:ser>
        <c:ser>
          <c:idx val="1"/>
          <c:order val="1"/>
          <c:tx>
            <c:strRef>
              <c:f>FFR!$K$12</c:f>
              <c:strCache>
                <c:ptCount val="1"/>
                <c:pt idx="0">
                  <c:v>CU1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5.8048879148976627E-3"/>
                  <c:y val="-0.2102214136604096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FFR!$K$13:$K$23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1796-4FFA-8AEA-E05D553B3412}"/>
            </c:ext>
          </c:extLst>
        </c:ser>
        <c:ser>
          <c:idx val="2"/>
          <c:order val="2"/>
          <c:tx>
            <c:strRef>
              <c:f>FFR!$L$12</c:f>
              <c:strCache>
                <c:ptCount val="1"/>
                <c:pt idx="0">
                  <c:v>CU2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21494995450569077"/>
                  <c:y val="-0.2710547234939625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FFR!$L$13:$L$23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5-1796-4FFA-8AEA-E05D553B3412}"/>
            </c:ext>
          </c:extLst>
        </c:ser>
        <c:ser>
          <c:idx val="3"/>
          <c:order val="3"/>
          <c:tx>
            <c:strRef>
              <c:f>FFR!$M$12</c:f>
              <c:strCache>
                <c:ptCount val="1"/>
                <c:pt idx="0">
                  <c:v>CU3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1701157381541572"/>
                  <c:y val="-0.2136358682355882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FFR!$M$13:$M$23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7-1796-4FFA-8AEA-E05D553B3412}"/>
            </c:ext>
          </c:extLst>
        </c:ser>
        <c:ser>
          <c:idx val="4"/>
          <c:order val="4"/>
          <c:tx>
            <c:strRef>
              <c:f>FFR!$N$12</c:f>
              <c:strCache>
                <c:ptCount val="1"/>
                <c:pt idx="0">
                  <c:v>CU4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15137769998745504"/>
                  <c:y val="-0.3410794910719704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FFR!$N$13:$N$23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9-1796-4FFA-8AEA-E05D553B3412}"/>
            </c:ext>
          </c:extLst>
        </c:ser>
        <c:ser>
          <c:idx val="5"/>
          <c:order val="5"/>
          <c:tx>
            <c:strRef>
              <c:f>FFR!$O$12</c:f>
              <c:strCache>
                <c:ptCount val="1"/>
                <c:pt idx="0">
                  <c:v>CU5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23173834031881596"/>
                  <c:y val="-0.3631154218341750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FFR!$O$13:$O$23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B-1796-4FFA-8AEA-E05D553B3412}"/>
            </c:ext>
          </c:extLst>
        </c:ser>
        <c:ser>
          <c:idx val="6"/>
          <c:order val="6"/>
          <c:tx>
            <c:strRef>
              <c:f>FFR!$P$12</c:f>
              <c:strCache>
                <c:ptCount val="1"/>
                <c:pt idx="0">
                  <c:v>CU6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17164168762749502"/>
                  <c:y val="-0.2590572599459327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FFR!$P$13:$P$23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D-1796-4FFA-8AEA-E05D553B3412}"/>
            </c:ext>
          </c:extLst>
        </c:ser>
        <c:ser>
          <c:idx val="7"/>
          <c:order val="7"/>
          <c:tx>
            <c:strRef>
              <c:f>FFR!$Q$12</c:f>
              <c:strCache>
                <c:ptCount val="1"/>
                <c:pt idx="0">
                  <c:v>CU7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20628090409979982"/>
                  <c:y val="-0.3185225842373449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FFR!$Q$13:$Q$23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F-1796-4FFA-8AEA-E05D553B3412}"/>
            </c:ext>
          </c:extLst>
        </c:ser>
        <c:ser>
          <c:idx val="8"/>
          <c:order val="8"/>
          <c:tx>
            <c:strRef>
              <c:f>FFR!$R$12</c:f>
              <c:strCache>
                <c:ptCount val="1"/>
                <c:pt idx="0">
                  <c:v>CU8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21272216299961075"/>
                  <c:y val="-0.3156404122039313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FFR!$R$13:$R$23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1-1796-4FFA-8AEA-E05D553B3412}"/>
            </c:ext>
          </c:extLst>
        </c:ser>
        <c:ser>
          <c:idx val="9"/>
          <c:order val="9"/>
          <c:tx>
            <c:strRef>
              <c:f>FFR!$S$12</c:f>
              <c:strCache>
                <c:ptCount val="1"/>
                <c:pt idx="0">
                  <c:v>CU9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29487206249463882"/>
                  <c:y val="-0.2581171417051999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FFR!$S$13:$S$23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3-1796-4FFA-8AEA-E05D553B3412}"/>
            </c:ext>
          </c:extLst>
        </c:ser>
        <c:ser>
          <c:idx val="10"/>
          <c:order val="10"/>
          <c:tx>
            <c:strRef>
              <c:f>FFR!$T$12</c:f>
              <c:strCache>
                <c:ptCount val="1"/>
                <c:pt idx="0">
                  <c:v>CU10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30253566527555414"/>
                  <c:y val="-0.2961056163966986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FFR!$T$13:$T$23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5-1796-4FFA-8AEA-E05D553B3412}"/>
            </c:ext>
          </c:extLst>
        </c:ser>
        <c:ser>
          <c:idx val="11"/>
          <c:order val="11"/>
          <c:tx>
            <c:strRef>
              <c:f>FFR!$U$12</c:f>
              <c:strCache>
                <c:ptCount val="1"/>
                <c:pt idx="0">
                  <c:v>CU11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29808008226339405"/>
                  <c:y val="-0.315082514715308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FFR!$U$13:$U$23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7-1796-4FFA-8AEA-E05D553B3412}"/>
            </c:ext>
          </c:extLst>
        </c:ser>
        <c:ser>
          <c:idx val="12"/>
          <c:order val="12"/>
          <c:tx>
            <c:strRef>
              <c:f>FFR!$V$12</c:f>
              <c:strCache>
                <c:ptCount val="1"/>
                <c:pt idx="0">
                  <c:v>CU12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80000"/>
                    <a:lumOff val="2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30823881153111898"/>
                  <c:y val="-0.2730542372390476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FFR!$V$13:$V$23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9-1796-4FFA-8AEA-E05D553B3412}"/>
            </c:ext>
          </c:extLst>
        </c:ser>
        <c:ser>
          <c:idx val="13"/>
          <c:order val="13"/>
          <c:tx>
            <c:strRef>
              <c:f>FFR!$W$12</c:f>
              <c:strCache>
                <c:ptCount val="1"/>
                <c:pt idx="0">
                  <c:v>CU13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lumMod val="80000"/>
                    <a:lumOff val="2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30699124828771418"/>
                  <c:y val="-0.2903604917119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FFR!$W$13:$W$23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B-1796-4FFA-8AEA-E05D553B3412}"/>
            </c:ext>
          </c:extLst>
        </c:ser>
        <c:ser>
          <c:idx val="14"/>
          <c:order val="14"/>
          <c:tx>
            <c:strRef>
              <c:f>FFR!$X$12</c:f>
              <c:strCache>
                <c:ptCount val="1"/>
                <c:pt idx="0">
                  <c:v>CU14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>
                    <a:lumMod val="80000"/>
                    <a:lumOff val="2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-0.30699124828771418"/>
                  <c:y val="-0.305890543866214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FFR!$I$13:$I$23</c:f>
            </c:numRef>
          </c:xVal>
          <c:yVal>
            <c:numRef>
              <c:f>FFR!$X$13:$X$23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D-1796-4FFA-8AEA-E05D553B34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003448"/>
        <c:axId val="751996232"/>
        <c:extLst/>
      </c:scatterChart>
      <c:valAx>
        <c:axId val="752003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996232"/>
        <c:crosses val="autoZero"/>
        <c:crossBetween val="midCat"/>
      </c:valAx>
      <c:valAx>
        <c:axId val="751996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20034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FFR!$AA$12</c:f>
              <c:strCache>
                <c:ptCount val="1"/>
                <c:pt idx="0">
                  <c:v>CU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31492218604935907"/>
                  <c:y val="-0.294963684348815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FFR!$AA$13:$AA$23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0D38-4E0B-A860-2187DAF2E126}"/>
            </c:ext>
          </c:extLst>
        </c:ser>
        <c:ser>
          <c:idx val="1"/>
          <c:order val="1"/>
          <c:tx>
            <c:strRef>
              <c:f>FFR!$AB$12</c:f>
              <c:strCache>
                <c:ptCount val="1"/>
                <c:pt idx="0">
                  <c:v>CU1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5.8048879148976627E-3"/>
                  <c:y val="-0.2102214136604096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FFR!$AB$13:$AB$23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0D38-4E0B-A860-2187DAF2E126}"/>
            </c:ext>
          </c:extLst>
        </c:ser>
        <c:ser>
          <c:idx val="2"/>
          <c:order val="2"/>
          <c:tx>
            <c:strRef>
              <c:f>FFR!$AC$12</c:f>
              <c:strCache>
                <c:ptCount val="1"/>
                <c:pt idx="0">
                  <c:v>CU2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21494995450569077"/>
                  <c:y val="-0.2710547234939625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FFR!$AC$13:$AC$23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5-0D38-4E0B-A860-2187DAF2E126}"/>
            </c:ext>
          </c:extLst>
        </c:ser>
        <c:ser>
          <c:idx val="3"/>
          <c:order val="3"/>
          <c:tx>
            <c:strRef>
              <c:f>FFR!$AD$12</c:f>
              <c:strCache>
                <c:ptCount val="1"/>
                <c:pt idx="0">
                  <c:v>CU3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1701157381541572"/>
                  <c:y val="-0.2136358682355882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FFR!$AD$13:$AD$23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7-0D38-4E0B-A860-2187DAF2E126}"/>
            </c:ext>
          </c:extLst>
        </c:ser>
        <c:ser>
          <c:idx val="4"/>
          <c:order val="4"/>
          <c:tx>
            <c:strRef>
              <c:f>FFR!$AE$12</c:f>
              <c:strCache>
                <c:ptCount val="1"/>
                <c:pt idx="0">
                  <c:v>CU4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15381935557885479"/>
                  <c:y val="-0.25829015089907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FFR!$AE$13:$AE$23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9-0D38-4E0B-A860-2187DAF2E126}"/>
            </c:ext>
          </c:extLst>
        </c:ser>
        <c:ser>
          <c:idx val="5"/>
          <c:order val="5"/>
          <c:tx>
            <c:strRef>
              <c:f>FFR!$AF$12</c:f>
              <c:strCache>
                <c:ptCount val="1"/>
                <c:pt idx="0">
                  <c:v>CU5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15257179233544996"/>
                  <c:y val="-0.2611070759235985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FFR!$AF$13:$AF$23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B-0D38-4E0B-A860-2187DAF2E126}"/>
            </c:ext>
          </c:extLst>
        </c:ser>
        <c:ser>
          <c:idx val="6"/>
          <c:order val="6"/>
          <c:tx>
            <c:strRef>
              <c:f>FFR!$AG$12</c:f>
              <c:strCache>
                <c:ptCount val="1"/>
                <c:pt idx="0">
                  <c:v>CU6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17164168762749502"/>
                  <c:y val="-0.2590572599459327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FFR!$AG$13:$AG$23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D-0D38-4E0B-A860-2187DAF2E126}"/>
            </c:ext>
          </c:extLst>
        </c:ser>
        <c:ser>
          <c:idx val="7"/>
          <c:order val="7"/>
          <c:tx>
            <c:strRef>
              <c:f>FFR!$AH$12</c:f>
              <c:strCache>
                <c:ptCount val="1"/>
                <c:pt idx="0">
                  <c:v>CU7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29362449925123402"/>
                  <c:y val="-0.2742047102705726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FFR!$AH$13:$AH$23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F-0D38-4E0B-A860-2187DAF2E126}"/>
            </c:ext>
          </c:extLst>
        </c:ser>
        <c:ser>
          <c:idx val="8"/>
          <c:order val="8"/>
          <c:tx>
            <c:strRef>
              <c:f>FFR!$AI$12</c:f>
              <c:strCache>
                <c:ptCount val="1"/>
                <c:pt idx="0">
                  <c:v>CU8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21272216299961075"/>
                  <c:y val="-0.3156404122039313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FFR!$AI$13:$AI$23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1-0D38-4E0B-A860-2187DAF2E126}"/>
            </c:ext>
          </c:extLst>
        </c:ser>
        <c:ser>
          <c:idx val="9"/>
          <c:order val="9"/>
          <c:tx>
            <c:strRef>
              <c:f>FFR!$AJ$12</c:f>
              <c:strCache>
                <c:ptCount val="1"/>
                <c:pt idx="0">
                  <c:v>CU9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29487206249463882"/>
                  <c:y val="-0.2581171417051999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FFR!$AJ$13:$AJ$23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3-0D38-4E0B-A860-2187DAF2E126}"/>
            </c:ext>
          </c:extLst>
        </c:ser>
        <c:ser>
          <c:idx val="10"/>
          <c:order val="10"/>
          <c:tx>
            <c:strRef>
              <c:f>FFR!$AK$12</c:f>
              <c:strCache>
                <c:ptCount val="1"/>
                <c:pt idx="0">
                  <c:v>CU10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30253566527555414"/>
                  <c:y val="-0.2961056163966986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FFR!$AK$13:$AK$23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5-0D38-4E0B-A860-2187DAF2E126}"/>
            </c:ext>
          </c:extLst>
        </c:ser>
        <c:ser>
          <c:idx val="11"/>
          <c:order val="11"/>
          <c:tx>
            <c:strRef>
              <c:f>FFR!$AL$12</c:f>
              <c:strCache>
                <c:ptCount val="1"/>
                <c:pt idx="0">
                  <c:v>CU11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29808008226339405"/>
                  <c:y val="-0.315082514715308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FFR!$AL$13:$AL$23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7-0D38-4E0B-A860-2187DAF2E126}"/>
            </c:ext>
          </c:extLst>
        </c:ser>
        <c:ser>
          <c:idx val="12"/>
          <c:order val="12"/>
          <c:tx>
            <c:strRef>
              <c:f>FFR!$AM$12</c:f>
              <c:strCache>
                <c:ptCount val="1"/>
                <c:pt idx="0">
                  <c:v>CU12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80000"/>
                    <a:lumOff val="2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30823881153111898"/>
                  <c:y val="-0.2730542372390476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FFR!$AM$13:$AM$23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9-0D38-4E0B-A860-2187DAF2E126}"/>
            </c:ext>
          </c:extLst>
        </c:ser>
        <c:ser>
          <c:idx val="13"/>
          <c:order val="13"/>
          <c:tx>
            <c:strRef>
              <c:f>FFR!$AN$12</c:f>
              <c:strCache>
                <c:ptCount val="1"/>
                <c:pt idx="0">
                  <c:v>CU13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lumMod val="80000"/>
                    <a:lumOff val="2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30699124828771418"/>
                  <c:y val="-0.2903604917119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FFR!$AN$13:$AN$23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B-0D38-4E0B-A860-2187DAF2E126}"/>
            </c:ext>
          </c:extLst>
        </c:ser>
        <c:ser>
          <c:idx val="14"/>
          <c:order val="14"/>
          <c:tx>
            <c:strRef>
              <c:f>FFR!$AO$12</c:f>
              <c:strCache>
                <c:ptCount val="1"/>
                <c:pt idx="0">
                  <c:v>CU14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>
                    <a:lumMod val="80000"/>
                    <a:lumOff val="2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30699124828771418"/>
                  <c:y val="-0.305890543866214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FFR!$Z$13:$Z$23</c:f>
            </c:numRef>
          </c:xVal>
          <c:yVal>
            <c:numRef>
              <c:f>FFR!$AO$13:$AO$23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D-0D38-4E0B-A860-2187DAF2E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003448"/>
        <c:axId val="751996232"/>
        <c:extLst/>
      </c:scatterChart>
      <c:valAx>
        <c:axId val="752003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996232"/>
        <c:crosses val="autoZero"/>
        <c:crossBetween val="midCat"/>
      </c:valAx>
      <c:valAx>
        <c:axId val="751996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20034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FFR!$AR$12</c:f>
              <c:strCache>
                <c:ptCount val="1"/>
                <c:pt idx="0">
                  <c:v>CU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-0.31492218604935907"/>
                  <c:y val="-0.294963684348815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FFR!$AR$13:$AR$23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9282-4796-9CAC-DC7D26B1E6EE}"/>
            </c:ext>
          </c:extLst>
        </c:ser>
        <c:ser>
          <c:idx val="1"/>
          <c:order val="1"/>
          <c:tx>
            <c:strRef>
              <c:f>FFR!$AS$12</c:f>
              <c:strCache>
                <c:ptCount val="1"/>
                <c:pt idx="0">
                  <c:v>CU1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5.8048879148976627E-3"/>
                  <c:y val="-0.2102214136604096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FFR!$AS$13:$AS$23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9282-4796-9CAC-DC7D26B1E6EE}"/>
            </c:ext>
          </c:extLst>
        </c:ser>
        <c:ser>
          <c:idx val="2"/>
          <c:order val="2"/>
          <c:tx>
            <c:strRef>
              <c:f>FFR!$AT$12</c:f>
              <c:strCache>
                <c:ptCount val="1"/>
                <c:pt idx="0">
                  <c:v>CU2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21494995450569077"/>
                  <c:y val="-0.2710547234939625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FFR!$AT$13:$AT$23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5-9282-4796-9CAC-DC7D26B1E6EE}"/>
            </c:ext>
          </c:extLst>
        </c:ser>
        <c:ser>
          <c:idx val="3"/>
          <c:order val="3"/>
          <c:tx>
            <c:strRef>
              <c:f>FFR!$AU$12</c:f>
              <c:strCache>
                <c:ptCount val="1"/>
                <c:pt idx="0">
                  <c:v>CU3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1701157381541572"/>
                  <c:y val="-0.2136358682355882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FFR!$AU$13:$AU$23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7-9282-4796-9CAC-DC7D26B1E6EE}"/>
            </c:ext>
          </c:extLst>
        </c:ser>
        <c:ser>
          <c:idx val="4"/>
          <c:order val="4"/>
          <c:tx>
            <c:strRef>
              <c:f>FFR!$AV$12</c:f>
              <c:strCache>
                <c:ptCount val="1"/>
                <c:pt idx="0">
                  <c:v>CU4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15381935557885479"/>
                  <c:y val="-0.25829015089907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FFR!$AV$13:$AV$23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9-9282-4796-9CAC-DC7D26B1E6EE}"/>
            </c:ext>
          </c:extLst>
        </c:ser>
        <c:ser>
          <c:idx val="5"/>
          <c:order val="5"/>
          <c:tx>
            <c:strRef>
              <c:f>FFR!$AW$12</c:f>
              <c:strCache>
                <c:ptCount val="1"/>
                <c:pt idx="0">
                  <c:v>CU5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15257179233544996"/>
                  <c:y val="-0.2611070759235985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FFR!$AW$13:$AW$23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B-9282-4796-9CAC-DC7D26B1E6EE}"/>
            </c:ext>
          </c:extLst>
        </c:ser>
        <c:ser>
          <c:idx val="6"/>
          <c:order val="6"/>
          <c:tx>
            <c:strRef>
              <c:f>FFR!$AX$12</c:f>
              <c:strCache>
                <c:ptCount val="1"/>
                <c:pt idx="0">
                  <c:v>CU6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17164168762749502"/>
                  <c:y val="-0.2590572599459327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FFR!$AX$13:$AX$23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D-9282-4796-9CAC-DC7D26B1E6EE}"/>
            </c:ext>
          </c:extLst>
        </c:ser>
        <c:ser>
          <c:idx val="7"/>
          <c:order val="7"/>
          <c:tx>
            <c:strRef>
              <c:f>FFR!$AY$12</c:f>
              <c:strCache>
                <c:ptCount val="1"/>
                <c:pt idx="0">
                  <c:v>CU7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29362449925123402"/>
                  <c:y val="-0.2742047102705726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FFR!$AY$13:$AY$23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F-9282-4796-9CAC-DC7D26B1E6EE}"/>
            </c:ext>
          </c:extLst>
        </c:ser>
        <c:ser>
          <c:idx val="8"/>
          <c:order val="8"/>
          <c:tx>
            <c:strRef>
              <c:f>FFR!$AZ$12</c:f>
              <c:strCache>
                <c:ptCount val="1"/>
                <c:pt idx="0">
                  <c:v>CU8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1"/>
            <c:trendlineLbl>
              <c:layout>
                <c:manualLayout>
                  <c:x val="-0.21272216299961075"/>
                  <c:y val="-0.3156404122039313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FFR!$AZ$13:$AZ$23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1-9282-4796-9CAC-DC7D26B1E6EE}"/>
            </c:ext>
          </c:extLst>
        </c:ser>
        <c:ser>
          <c:idx val="9"/>
          <c:order val="9"/>
          <c:tx>
            <c:strRef>
              <c:f>FFR!$BA$12</c:f>
              <c:strCache>
                <c:ptCount val="1"/>
                <c:pt idx="0">
                  <c:v>CU9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29487206249463882"/>
                  <c:y val="-0.2581171417051999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FFR!$BA$13:$BA$23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3-9282-4796-9CAC-DC7D26B1E6EE}"/>
            </c:ext>
          </c:extLst>
        </c:ser>
        <c:ser>
          <c:idx val="10"/>
          <c:order val="10"/>
          <c:tx>
            <c:strRef>
              <c:f>FFR!$BB$12</c:f>
              <c:strCache>
                <c:ptCount val="1"/>
                <c:pt idx="0">
                  <c:v>CU10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30253566527555414"/>
                  <c:y val="-0.2961056163966986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FFR!$BB$13:$BB$23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5-9282-4796-9CAC-DC7D26B1E6EE}"/>
            </c:ext>
          </c:extLst>
        </c:ser>
        <c:ser>
          <c:idx val="11"/>
          <c:order val="11"/>
          <c:tx>
            <c:strRef>
              <c:f>FFR!$BC$12</c:f>
              <c:strCache>
                <c:ptCount val="1"/>
                <c:pt idx="0">
                  <c:v>CU11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>
                    <a:lumMod val="6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29808008226339405"/>
                  <c:y val="-0.315082514715308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FFR!$BC$13:$BC$23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7-9282-4796-9CAC-DC7D26B1E6EE}"/>
            </c:ext>
          </c:extLst>
        </c:ser>
        <c:ser>
          <c:idx val="12"/>
          <c:order val="12"/>
          <c:tx>
            <c:strRef>
              <c:f>FFR!$BD$12</c:f>
              <c:strCache>
                <c:ptCount val="1"/>
                <c:pt idx="0">
                  <c:v>CU12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80000"/>
                    <a:lumOff val="2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30823881153111898"/>
                  <c:y val="-0.2730542372390476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FFR!$BD$13:$BD$23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9-9282-4796-9CAC-DC7D26B1E6EE}"/>
            </c:ext>
          </c:extLst>
        </c:ser>
        <c:ser>
          <c:idx val="13"/>
          <c:order val="13"/>
          <c:tx>
            <c:strRef>
              <c:f>FFR!$BE$12</c:f>
              <c:strCache>
                <c:ptCount val="1"/>
                <c:pt idx="0">
                  <c:v>CU13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lumMod val="80000"/>
                    <a:lumOff val="2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30699124828771418"/>
                  <c:y val="-0.2903604917119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FFR!$BE$13:$BE$23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B-9282-4796-9CAC-DC7D26B1E6EE}"/>
            </c:ext>
          </c:extLst>
        </c:ser>
        <c:ser>
          <c:idx val="14"/>
          <c:order val="14"/>
          <c:tx>
            <c:strRef>
              <c:f>FFR!$BF$12</c:f>
              <c:strCache>
                <c:ptCount val="1"/>
                <c:pt idx="0">
                  <c:v>CU14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>
                    <a:lumMod val="80000"/>
                    <a:lumOff val="2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30699124828771418"/>
                  <c:y val="-0.3058905438662143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FFR!$AQ$13:$AQ$23</c:f>
            </c:numRef>
          </c:xVal>
          <c:yVal>
            <c:numRef>
              <c:f>FFR!$BF$13:$BF$23</c:f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D-9282-4796-9CAC-DC7D26B1E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2003448"/>
        <c:axId val="751996232"/>
        <c:extLst/>
      </c:scatterChart>
      <c:valAx>
        <c:axId val="752003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1996232"/>
        <c:crosses val="autoZero"/>
        <c:crossBetween val="midCat"/>
      </c:valAx>
      <c:valAx>
        <c:axId val="751996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20034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pn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252412</xdr:colOff>
      <xdr:row>30</xdr:row>
      <xdr:rowOff>166687</xdr:rowOff>
    </xdr:from>
    <xdr:to>
      <xdr:col>21</xdr:col>
      <xdr:colOff>762000</xdr:colOff>
      <xdr:row>46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7825425-9EA4-4066-8E50-96AD111433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85725</xdr:colOff>
      <xdr:row>30</xdr:row>
      <xdr:rowOff>66675</xdr:rowOff>
    </xdr:from>
    <xdr:to>
      <xdr:col>34</xdr:col>
      <xdr:colOff>595313</xdr:colOff>
      <xdr:row>46</xdr:row>
      <xdr:rowOff>23813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3C3559A-E932-468E-91EE-AACBB1EFD4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74510</xdr:colOff>
      <xdr:row>0</xdr:row>
      <xdr:rowOff>66675</xdr:rowOff>
    </xdr:from>
    <xdr:to>
      <xdr:col>2</xdr:col>
      <xdr:colOff>1330888</xdr:colOff>
      <xdr:row>2</xdr:row>
      <xdr:rowOff>142875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99E382C-7D3C-439C-86A3-26249AB40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10" y="66675"/>
          <a:ext cx="3570953" cy="457200"/>
        </a:xfrm>
        <a:prstGeom prst="rect">
          <a:avLst/>
        </a:prstGeom>
      </xdr:spPr>
    </xdr:pic>
    <xdr:clientData/>
  </xdr:twoCellAnchor>
  <xdr:twoCellAnchor>
    <xdr:from>
      <xdr:col>42</xdr:col>
      <xdr:colOff>38100</xdr:colOff>
      <xdr:row>30</xdr:row>
      <xdr:rowOff>123825</xdr:rowOff>
    </xdr:from>
    <xdr:to>
      <xdr:col>51</xdr:col>
      <xdr:colOff>547688</xdr:colOff>
      <xdr:row>46</xdr:row>
      <xdr:rowOff>109538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5B1C90E-D74E-4AD5-B8B9-CD3D5319BF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1438275</xdr:colOff>
      <xdr:row>3</xdr:row>
      <xdr:rowOff>76201</xdr:rowOff>
    </xdr:from>
    <xdr:to>
      <xdr:col>2</xdr:col>
      <xdr:colOff>1582095</xdr:colOff>
      <xdr:row>9</xdr:row>
      <xdr:rowOff>100963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6E5E1BB6-31A0-43FA-8305-FABB9C8C24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2181225" y="619126"/>
          <a:ext cx="1967858" cy="1110612"/>
        </a:xfrm>
        <a:prstGeom prst="rect">
          <a:avLst/>
        </a:prstGeom>
        <a:effectLst>
          <a:outerShdw blurRad="50800" dist="38100" dir="16200000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58</xdr:col>
      <xdr:colOff>5821</xdr:colOff>
      <xdr:row>37</xdr:row>
      <xdr:rowOff>177233</xdr:rowOff>
    </xdr:from>
    <xdr:to>
      <xdr:col>63</xdr:col>
      <xdr:colOff>943</xdr:colOff>
      <xdr:row>48</xdr:row>
      <xdr:rowOff>105795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EF62A8C-6CD9-4E94-BFA6-05100E7E9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233863" y="6876483"/>
          <a:ext cx="3196581" cy="190764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D3901B76-83CB-4F28-BA87-834E6AE70232}" name="Table2x431" displayName="Table2x431" ref="I12:X23" totalsRowShown="0">
  <autoFilter ref="I12:X23" xr:uid="{3261A0F6-56CE-4121-8693-4727BC51A8EC}"/>
  <tableColumns count="16">
    <tableColumn id="1" xr3:uid="{EA6678DA-98C1-44C3-977B-1AB232D1CDF6}" name="RCR"/>
    <tableColumn id="2" xr3:uid="{6FB52323-9A42-47A8-B561-C58AB1C4CEAE}" name="CU"/>
    <tableColumn id="3" xr3:uid="{C80ED774-9ADD-47A5-80A3-536A5F5703F1}" name="CU1"/>
    <tableColumn id="4" xr3:uid="{544572DF-5423-446F-B3B9-0D9F7F79284B}" name="CU2"/>
    <tableColumn id="5" xr3:uid="{36F3C49D-8CEB-4467-8051-638CD3A14449}" name="CU3"/>
    <tableColumn id="6" xr3:uid="{9580A7C4-0A0D-422C-8372-379F1B75BAD8}" name="CU4"/>
    <tableColumn id="7" xr3:uid="{8A6F74FC-A841-4C2C-90DA-53664E965225}" name="CU5"/>
    <tableColumn id="8" xr3:uid="{89EF74EA-7579-4961-BBBE-CA05FD80560E}" name="CU6"/>
    <tableColumn id="9" xr3:uid="{F3659A62-CDCD-496B-A190-B6337D93DF77}" name="CU7"/>
    <tableColumn id="10" xr3:uid="{ECAF7992-AB54-476D-9E2F-97A5B30449C3}" name="CU8"/>
    <tableColumn id="11" xr3:uid="{95A91A29-E14E-4B19-880C-1296B0B02D6F}" name="CU9"/>
    <tableColumn id="12" xr3:uid="{4E8BD37F-9973-45C8-B917-5D8C7BFF4660}" name="CU10"/>
    <tableColumn id="13" xr3:uid="{9394E142-1E42-4E55-A66C-562BE436824E}" name="CU11"/>
    <tableColumn id="14" xr3:uid="{9FF88CC6-AF17-457B-9EA8-31692006A4E0}" name="CU12"/>
    <tableColumn id="15" xr3:uid="{966D40C7-0FB7-44F6-90FD-1391A2E446A0}" name="CU13"/>
    <tableColumn id="16" xr3:uid="{1BF199F4-6B7A-4726-AA5F-20D727187084}" name="CU14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A629F944-9895-45A4-B8D3-0BF82A2D79CA}" name="Table1x440" displayName="Table1x440" ref="AQ12:BF23" totalsRowShown="0" headerRowDxfId="2" headerRowBorderDxfId="1" tableBorderDxfId="0">
  <autoFilter ref="AQ12:BF23" xr:uid="{39533706-340A-4B99-8072-6D7A862652F4}"/>
  <tableColumns count="16">
    <tableColumn id="1" xr3:uid="{C3FBC270-7345-4946-935E-2A4D00A1809B}" name="RCR"/>
    <tableColumn id="2" xr3:uid="{7BDA07F2-5890-484E-91D2-DFC732C57259}" name="CU"/>
    <tableColumn id="3" xr3:uid="{B8EAADD1-015E-4AC4-96F3-67B416D2DF38}" name="CU1"/>
    <tableColumn id="4" xr3:uid="{6B94724A-B11B-489E-8045-3CEFB8386637}" name="CU2"/>
    <tableColumn id="5" xr3:uid="{3D142B8E-C101-4E83-8363-5D6B05967E76}" name="CU3"/>
    <tableColumn id="6" xr3:uid="{C29C1A50-A0F3-4B86-A611-2F820166A9EE}" name="CU4"/>
    <tableColumn id="7" xr3:uid="{ABA95FE7-C98B-4CB1-8422-4C6F460A0F67}" name="CU5"/>
    <tableColumn id="8" xr3:uid="{1E6F74A2-AFFC-4354-9EA3-39E5D99CF155}" name="CU6"/>
    <tableColumn id="9" xr3:uid="{96978070-ABF2-4168-AFE1-B3E8180D7719}" name="CU7"/>
    <tableColumn id="10" xr3:uid="{6CD0CB73-414A-4CD8-96EE-5AD05E159BB3}" name="CU8"/>
    <tableColumn id="11" xr3:uid="{D5E5B425-8449-484B-B504-F42958373E4B}" name="CU9"/>
    <tableColumn id="12" xr3:uid="{6FFD62DB-7E65-4A68-8521-73C4FFEA30FA}" name="CU10"/>
    <tableColumn id="13" xr3:uid="{F6BF82B6-8CC5-4A34-83D3-E774BA566E7B}" name="CU11"/>
    <tableColumn id="14" xr3:uid="{007E70C1-9D76-4409-8BEC-C3887E5C63E2}" name="CU12"/>
    <tableColumn id="15" xr3:uid="{35D5E493-D081-4777-B8ED-EEB34FCB8013}" name="CU13"/>
    <tableColumn id="16" xr3:uid="{1132F454-0B17-4567-BFD1-A2D512B0213F}" name="CU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3CB72A09-2B48-45E0-AE52-FA38DDDA380F}" name="CUtable432" displayName="CUtable432" ref="I32:L77" totalsRowShown="0">
  <autoFilter ref="I32:L77" xr:uid="{1895C869-D44F-4135-9B0B-1FC54B546AC1}"/>
  <tableColumns count="4">
    <tableColumn id="1" xr3:uid="{30305B22-34B8-46E7-9BA8-9EBDE3FA4C0C}" name="RC"/>
    <tableColumn id="2" xr3:uid="{FC806602-CF07-4373-985F-9B412886C362}" name="RW"/>
    <tableColumn id="4" xr3:uid="{EFA3A3A7-7FCC-41B6-B3D0-A12B8B2281A2}" name="Size"/>
    <tableColumn id="3" xr3:uid="{CBF05A8E-0CE0-41D8-ADFC-58D2480DB884}" name="CU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C7DADEC-863F-4666-8A55-2A3BE036A098}" name="Model533" displayName="Model533" ref="I80:K168" totalsRowShown="0" headerRowDxfId="10" dataDxfId="9">
  <autoFilter ref="I80:K168" xr:uid="{60489EAB-209D-464C-88CD-E719703A12B4}"/>
  <tableColumns count="3">
    <tableColumn id="1" xr3:uid="{193B8B67-6E00-4842-8EDF-8F8ED177E282}" name="Model" dataDxfId="8"/>
    <tableColumn id="2" xr3:uid="{D1B768DF-ADE9-40D0-A263-3F0E0F288C75}" name="Lumens" dataDxfId="7"/>
    <tableColumn id="3" xr3:uid="{9EB2A72E-1DC6-49A9-8B53-C2927F6456E5}" name="Watts" dataDxfId="6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12A8C01A-BC48-4859-BF51-E3F638D94019}" name="Table22934" displayName="Table22934" ref="N87:N92" totalsRowShown="0">
  <autoFilter ref="N87:N92" xr:uid="{524A0BC1-6214-41C4-BB55-444D7E9AAFA8}"/>
  <tableColumns count="1">
    <tableColumn id="1" xr3:uid="{DBFF1020-53D8-40E5-A48C-437613C1920B}" name="RC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16E2CB3C-039F-4D54-9941-970627D35954}" name="Table3101535" displayName="Table3101535" ref="O87:O90" totalsRowShown="0">
  <autoFilter ref="O87:O90" xr:uid="{E644E126-0CB4-4B16-A438-11D08E96B6CC}"/>
  <tableColumns count="1">
    <tableColumn id="1" xr3:uid="{60A98C98-B26D-4334-83C8-2A5876B30378}" name="RW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9CCD89EB-651C-4379-BF96-C09A0912647B}" name="Table4111636" displayName="Table4111636" ref="P87:P88" totalsRowShown="0">
  <autoFilter ref="P87:P88" xr:uid="{C27751B9-2B6B-4AFC-8DA0-3193C288A08B}"/>
  <tableColumns count="1">
    <tableColumn id="1" xr3:uid="{EA20BD10-0411-4039-A405-C7F4820F3B21}" name="RF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F16599E0-EB68-4E61-9E74-DDADC56E0AEB}" name="Table8121737" displayName="Table8121737" ref="R87:T90" totalsRowShown="0">
  <autoFilter ref="R87:T90" xr:uid="{8E82A350-E297-4703-B135-7BA15B3077C0}"/>
  <tableColumns count="3">
    <tableColumn id="1" xr3:uid="{12A463EB-4F62-42C9-91B6-6FF908353B1E}" name="Size"/>
    <tableColumn id="2" xr3:uid="{7D16C6C7-9A0C-46C4-B8D4-C1A335EBA291}" name="0-180"/>
    <tableColumn id="3" xr3:uid="{9DC0EC1C-CC66-4EDE-8BA1-26A23790519C}" name="90-270"/>
  </tableColumns>
  <tableStyleInfo name="TableStyleMedium3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6525616-93D9-493B-93C6-F872667B33DD}" name="Table2x238" displayName="Table2x238" ref="Z12:AO23" totalsRowShown="0" headerRowDxfId="5" headerRowBorderDxfId="4" tableBorderDxfId="3">
  <autoFilter ref="Z12:AO23" xr:uid="{7D898CA0-2AB7-48D8-8523-94ADF7F85609}"/>
  <tableColumns count="16">
    <tableColumn id="1" xr3:uid="{ACE77536-F129-4EA8-9A72-2AF50065A928}" name="RCR"/>
    <tableColumn id="2" xr3:uid="{475E0262-107D-4A1B-AC16-F77DE88E65D8}" name="CU"/>
    <tableColumn id="3" xr3:uid="{C92A23B1-ADFF-46F3-85F5-D8DF6AC5868D}" name="CU1"/>
    <tableColumn id="4" xr3:uid="{7C1D79D3-003C-4AFA-9676-22C5E8181E95}" name="CU2"/>
    <tableColumn id="5" xr3:uid="{30953001-0C26-4292-BB42-4571683B8494}" name="CU3"/>
    <tableColumn id="6" xr3:uid="{AF7B495A-F77B-4A57-A1F5-77C795AD3860}" name="CU4"/>
    <tableColumn id="7" xr3:uid="{4E8ADB05-6534-41CE-9F48-903BA3F4858E}" name="CU5"/>
    <tableColumn id="8" xr3:uid="{F6871902-278B-4AEE-B427-45C8866C82DE}" name="CU6"/>
    <tableColumn id="9" xr3:uid="{78FC81A3-1870-47A8-9C4B-0A69EE0504A2}" name="CU7"/>
    <tableColumn id="10" xr3:uid="{7968D78D-4840-4E65-BA11-8234C89BA5FD}" name="CU8"/>
    <tableColumn id="11" xr3:uid="{F91A9C2B-F5C6-4E26-8E81-AB8FFFA24F35}" name="CU9"/>
    <tableColumn id="12" xr3:uid="{3BD59A8F-D13C-45A9-82E0-1BCC360769A1}" name="CU10"/>
    <tableColumn id="13" xr3:uid="{0C8D4A9F-1C20-4AB9-BBF3-A8DB27EB9B8E}" name="CU11"/>
    <tableColumn id="14" xr3:uid="{C06FC128-9EC3-4F5A-AF9E-3112F9F770F7}" name="CU12"/>
    <tableColumn id="15" xr3:uid="{60A4C15C-802D-4D01-A50E-CDA1AD043B88}" name="CU13"/>
    <tableColumn id="16" xr3:uid="{0DAC7F3F-8F39-4C54-9B58-0DC2A488FF71}" name="CU14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4EB18822-B8CA-49C4-9807-CFF72D084CE6}" name="Table131939" displayName="Table131939" ref="V87:V89" totalsRowShown="0">
  <autoFilter ref="V87:V89" xr:uid="{906F8D5B-E188-4A09-8AB3-EC4630FB1196}"/>
  <tableColumns count="1">
    <tableColumn id="1" xr3:uid="{E6F77BE4-F6FB-4C30-A99E-2485F0B78CC8}" name="Orientat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5" Type="http://schemas.openxmlformats.org/officeDocument/2006/relationships/table" Target="../tables/table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011E4-1AAF-4CDE-B588-985DAC54C304}">
  <sheetPr>
    <pageSetUpPr fitToPage="1"/>
  </sheetPr>
  <dimension ref="A5:BK168"/>
  <sheetViews>
    <sheetView showGridLines="0" tabSelected="1" zoomScaleNormal="100" zoomScaleSheetLayoutView="90" workbookViewId="0">
      <selection activeCell="BI5" sqref="BI5:BK5"/>
    </sheetView>
  </sheetViews>
  <sheetFormatPr defaultRowHeight="15" x14ac:dyDescent="0.25"/>
  <cols>
    <col min="1" max="1" width="10.42578125" bestFit="1" customWidth="1"/>
    <col min="2" max="2" width="24.28515625" customWidth="1"/>
    <col min="3" max="3" width="25.85546875" customWidth="1"/>
    <col min="4" max="4" width="5.85546875" bestFit="1" customWidth="1"/>
    <col min="5" max="8" width="9.140625" hidden="1" customWidth="1"/>
    <col min="9" max="9" width="19.140625" hidden="1" customWidth="1"/>
    <col min="10" max="10" width="9.140625" hidden="1" customWidth="1"/>
    <col min="11" max="11" width="10" hidden="1" customWidth="1"/>
    <col min="12" max="21" width="9.140625" hidden="1" customWidth="1"/>
    <col min="22" max="22" width="13.5703125" hidden="1" customWidth="1"/>
    <col min="23" max="41" width="9.140625" hidden="1" customWidth="1"/>
    <col min="42" max="58" width="9" hidden="1" customWidth="1"/>
  </cols>
  <sheetData>
    <row r="5" spans="1:63" x14ac:dyDescent="0.25">
      <c r="BH5" s="7" t="s">
        <v>158</v>
      </c>
      <c r="BI5" s="31"/>
      <c r="BJ5" s="31"/>
      <c r="BK5" s="31"/>
    </row>
    <row r="6" spans="1:63" x14ac:dyDescent="0.25">
      <c r="A6" s="12" t="s">
        <v>39</v>
      </c>
      <c r="BH6" s="7" t="s">
        <v>159</v>
      </c>
      <c r="BI6" s="31"/>
      <c r="BJ6" s="31"/>
      <c r="BK6" s="31"/>
    </row>
    <row r="7" spans="1:63" x14ac:dyDescent="0.25">
      <c r="A7" s="12" t="s">
        <v>157</v>
      </c>
      <c r="BH7" s="7" t="s">
        <v>160</v>
      </c>
      <c r="BI7" s="31"/>
      <c r="BJ7" s="31"/>
      <c r="BK7" s="31"/>
    </row>
    <row r="8" spans="1:63" x14ac:dyDescent="0.25">
      <c r="B8" s="4"/>
      <c r="C8" s="4"/>
      <c r="D8" s="4"/>
      <c r="E8" s="4"/>
      <c r="F8" s="4"/>
      <c r="G8" s="4"/>
      <c r="H8" s="4"/>
      <c r="I8" s="4"/>
      <c r="J8" s="4"/>
    </row>
    <row r="9" spans="1:63" x14ac:dyDescent="0.25">
      <c r="I9" s="8">
        <v>24</v>
      </c>
      <c r="Z9" s="2">
        <v>22</v>
      </c>
      <c r="AQ9" s="2">
        <v>14</v>
      </c>
    </row>
    <row r="10" spans="1:63" x14ac:dyDescent="0.25">
      <c r="I10" t="s">
        <v>11</v>
      </c>
      <c r="J10">
        <v>80</v>
      </c>
      <c r="K10">
        <v>80</v>
      </c>
      <c r="L10">
        <v>80</v>
      </c>
      <c r="M10">
        <v>70</v>
      </c>
      <c r="N10">
        <v>70</v>
      </c>
      <c r="O10">
        <v>70</v>
      </c>
      <c r="P10">
        <v>50</v>
      </c>
      <c r="Q10">
        <v>50</v>
      </c>
      <c r="R10">
        <v>50</v>
      </c>
      <c r="S10">
        <v>30</v>
      </c>
      <c r="T10">
        <v>30</v>
      </c>
      <c r="U10">
        <v>30</v>
      </c>
      <c r="V10">
        <v>10</v>
      </c>
      <c r="W10">
        <v>10</v>
      </c>
      <c r="X10">
        <v>10</v>
      </c>
      <c r="Z10" t="s">
        <v>11</v>
      </c>
      <c r="AA10">
        <v>80</v>
      </c>
      <c r="AB10">
        <v>80</v>
      </c>
      <c r="AC10">
        <v>80</v>
      </c>
      <c r="AD10">
        <v>70</v>
      </c>
      <c r="AE10">
        <v>70</v>
      </c>
      <c r="AF10">
        <v>70</v>
      </c>
      <c r="AG10">
        <v>50</v>
      </c>
      <c r="AH10">
        <v>50</v>
      </c>
      <c r="AI10">
        <v>50</v>
      </c>
      <c r="AJ10">
        <v>30</v>
      </c>
      <c r="AK10">
        <v>30</v>
      </c>
      <c r="AL10">
        <v>30</v>
      </c>
      <c r="AM10">
        <v>10</v>
      </c>
      <c r="AN10">
        <v>10</v>
      </c>
      <c r="AO10">
        <v>10</v>
      </c>
      <c r="AQ10" t="s">
        <v>11</v>
      </c>
      <c r="AR10">
        <v>80</v>
      </c>
      <c r="AS10">
        <v>80</v>
      </c>
      <c r="AT10">
        <v>80</v>
      </c>
      <c r="AU10">
        <v>70</v>
      </c>
      <c r="AV10">
        <v>70</v>
      </c>
      <c r="AW10">
        <v>70</v>
      </c>
      <c r="AX10">
        <v>50</v>
      </c>
      <c r="AY10">
        <v>50</v>
      </c>
      <c r="AZ10">
        <v>50</v>
      </c>
      <c r="BA10">
        <v>30</v>
      </c>
      <c r="BB10">
        <v>30</v>
      </c>
      <c r="BC10">
        <v>30</v>
      </c>
      <c r="BD10">
        <v>10</v>
      </c>
      <c r="BE10">
        <v>10</v>
      </c>
      <c r="BF10">
        <v>10</v>
      </c>
    </row>
    <row r="11" spans="1:63" x14ac:dyDescent="0.25">
      <c r="A11" s="2" t="s">
        <v>9</v>
      </c>
      <c r="B11" t="s">
        <v>41</v>
      </c>
      <c r="C11" s="21"/>
      <c r="D11" t="s">
        <v>8</v>
      </c>
      <c r="I11" t="s">
        <v>12</v>
      </c>
      <c r="J11">
        <v>50</v>
      </c>
      <c r="K11">
        <v>30</v>
      </c>
      <c r="L11">
        <v>10</v>
      </c>
      <c r="M11">
        <v>50</v>
      </c>
      <c r="N11">
        <v>30</v>
      </c>
      <c r="O11">
        <v>10</v>
      </c>
      <c r="P11">
        <v>50</v>
      </c>
      <c r="Q11">
        <v>30</v>
      </c>
      <c r="R11">
        <v>10</v>
      </c>
      <c r="S11">
        <v>50</v>
      </c>
      <c r="T11">
        <v>30</v>
      </c>
      <c r="U11">
        <v>10</v>
      </c>
      <c r="V11">
        <v>50</v>
      </c>
      <c r="W11">
        <v>30</v>
      </c>
      <c r="X11">
        <v>10</v>
      </c>
      <c r="Z11" t="s">
        <v>12</v>
      </c>
      <c r="AA11">
        <v>50</v>
      </c>
      <c r="AB11">
        <v>30</v>
      </c>
      <c r="AC11">
        <v>10</v>
      </c>
      <c r="AD11">
        <v>50</v>
      </c>
      <c r="AE11">
        <v>30</v>
      </c>
      <c r="AF11">
        <v>10</v>
      </c>
      <c r="AG11">
        <v>50</v>
      </c>
      <c r="AH11">
        <v>30</v>
      </c>
      <c r="AI11">
        <v>10</v>
      </c>
      <c r="AJ11">
        <v>50</v>
      </c>
      <c r="AK11">
        <v>30</v>
      </c>
      <c r="AL11">
        <v>10</v>
      </c>
      <c r="AM11">
        <v>50</v>
      </c>
      <c r="AN11">
        <v>30</v>
      </c>
      <c r="AO11">
        <v>10</v>
      </c>
      <c r="AQ11" t="s">
        <v>12</v>
      </c>
      <c r="AR11">
        <v>50</v>
      </c>
      <c r="AS11">
        <v>30</v>
      </c>
      <c r="AT11">
        <v>10</v>
      </c>
      <c r="AU11">
        <v>50</v>
      </c>
      <c r="AV11">
        <v>30</v>
      </c>
      <c r="AW11">
        <v>10</v>
      </c>
      <c r="AX11">
        <v>50</v>
      </c>
      <c r="AY11">
        <v>30</v>
      </c>
      <c r="AZ11">
        <v>10</v>
      </c>
      <c r="BA11">
        <v>50</v>
      </c>
      <c r="BB11">
        <v>30</v>
      </c>
      <c r="BC11">
        <v>10</v>
      </c>
      <c r="BD11">
        <v>50</v>
      </c>
      <c r="BE11">
        <v>30</v>
      </c>
      <c r="BF11">
        <v>10</v>
      </c>
    </row>
    <row r="12" spans="1:63" x14ac:dyDescent="0.25">
      <c r="B12" t="s">
        <v>42</v>
      </c>
      <c r="C12" s="21"/>
      <c r="D12" t="s">
        <v>8</v>
      </c>
      <c r="I12" t="s">
        <v>14</v>
      </c>
      <c r="J12" t="s">
        <v>13</v>
      </c>
      <c r="K12" t="s">
        <v>16</v>
      </c>
      <c r="L12" t="s">
        <v>17</v>
      </c>
      <c r="M12" t="s">
        <v>18</v>
      </c>
      <c r="N12" t="s">
        <v>19</v>
      </c>
      <c r="O12" t="s">
        <v>20</v>
      </c>
      <c r="P12" t="s">
        <v>21</v>
      </c>
      <c r="Q12" t="s">
        <v>22</v>
      </c>
      <c r="R12" t="s">
        <v>23</v>
      </c>
      <c r="S12" t="s">
        <v>24</v>
      </c>
      <c r="T12" t="s">
        <v>26</v>
      </c>
      <c r="U12" t="s">
        <v>25</v>
      </c>
      <c r="V12" t="s">
        <v>27</v>
      </c>
      <c r="W12" t="s">
        <v>28</v>
      </c>
      <c r="X12" t="s">
        <v>29</v>
      </c>
      <c r="Z12" s="9" t="s">
        <v>14</v>
      </c>
      <c r="AA12" s="10" t="s">
        <v>13</v>
      </c>
      <c r="AB12" s="10" t="s">
        <v>16</v>
      </c>
      <c r="AC12" s="10" t="s">
        <v>17</v>
      </c>
      <c r="AD12" s="10" t="s">
        <v>18</v>
      </c>
      <c r="AE12" s="10" t="s">
        <v>19</v>
      </c>
      <c r="AF12" s="10" t="s">
        <v>20</v>
      </c>
      <c r="AG12" s="10" t="s">
        <v>21</v>
      </c>
      <c r="AH12" s="10" t="s">
        <v>22</v>
      </c>
      <c r="AI12" s="10" t="s">
        <v>23</v>
      </c>
      <c r="AJ12" s="10" t="s">
        <v>24</v>
      </c>
      <c r="AK12" s="10" t="s">
        <v>26</v>
      </c>
      <c r="AL12" s="10" t="s">
        <v>25</v>
      </c>
      <c r="AM12" s="10" t="s">
        <v>27</v>
      </c>
      <c r="AN12" s="10" t="s">
        <v>28</v>
      </c>
      <c r="AO12" s="11" t="s">
        <v>29</v>
      </c>
      <c r="AQ12" s="9" t="s">
        <v>14</v>
      </c>
      <c r="AR12" s="10" t="s">
        <v>13</v>
      </c>
      <c r="AS12" s="10" t="s">
        <v>16</v>
      </c>
      <c r="AT12" s="10" t="s">
        <v>17</v>
      </c>
      <c r="AU12" s="10" t="s">
        <v>18</v>
      </c>
      <c r="AV12" s="10" t="s">
        <v>19</v>
      </c>
      <c r="AW12" s="10" t="s">
        <v>20</v>
      </c>
      <c r="AX12" s="10" t="s">
        <v>21</v>
      </c>
      <c r="AY12" s="10" t="s">
        <v>22</v>
      </c>
      <c r="AZ12" s="10" t="s">
        <v>23</v>
      </c>
      <c r="BA12" s="10" t="s">
        <v>24</v>
      </c>
      <c r="BB12" s="10" t="s">
        <v>26</v>
      </c>
      <c r="BC12" s="10" t="s">
        <v>25</v>
      </c>
      <c r="BD12" s="10" t="s">
        <v>27</v>
      </c>
      <c r="BE12" s="10" t="s">
        <v>28</v>
      </c>
      <c r="BF12" s="11" t="s">
        <v>29</v>
      </c>
    </row>
    <row r="13" spans="1:63" ht="17.25" x14ac:dyDescent="0.25">
      <c r="B13" s="3" t="s">
        <v>33</v>
      </c>
      <c r="C13" s="16">
        <f>C12*C11</f>
        <v>0</v>
      </c>
      <c r="D13" s="3" t="s">
        <v>34</v>
      </c>
      <c r="I13">
        <v>0</v>
      </c>
      <c r="J13">
        <v>119</v>
      </c>
      <c r="K13">
        <v>119</v>
      </c>
      <c r="L13">
        <v>119</v>
      </c>
      <c r="M13">
        <v>116</v>
      </c>
      <c r="N13">
        <v>116</v>
      </c>
      <c r="O13">
        <v>116</v>
      </c>
      <c r="P13">
        <v>111</v>
      </c>
      <c r="Q13">
        <v>111</v>
      </c>
      <c r="R13">
        <v>111</v>
      </c>
      <c r="S13">
        <v>106</v>
      </c>
      <c r="T13">
        <v>106</v>
      </c>
      <c r="U13">
        <v>106</v>
      </c>
      <c r="V13">
        <v>102</v>
      </c>
      <c r="W13">
        <v>102</v>
      </c>
      <c r="X13">
        <v>102</v>
      </c>
      <c r="Z13">
        <v>0</v>
      </c>
      <c r="AA13">
        <v>119</v>
      </c>
      <c r="AB13">
        <v>119</v>
      </c>
      <c r="AC13">
        <v>119</v>
      </c>
      <c r="AD13">
        <v>116</v>
      </c>
      <c r="AE13">
        <v>116</v>
      </c>
      <c r="AF13">
        <v>116</v>
      </c>
      <c r="AG13">
        <v>111</v>
      </c>
      <c r="AH13">
        <v>111</v>
      </c>
      <c r="AI13">
        <v>111</v>
      </c>
      <c r="AJ13">
        <v>106</v>
      </c>
      <c r="AK13">
        <v>106</v>
      </c>
      <c r="AL13">
        <v>106</v>
      </c>
      <c r="AM13">
        <v>102</v>
      </c>
      <c r="AN13">
        <v>102</v>
      </c>
      <c r="AO13">
        <v>102</v>
      </c>
      <c r="AQ13">
        <v>0</v>
      </c>
      <c r="AR13">
        <v>119</v>
      </c>
      <c r="AS13">
        <v>119</v>
      </c>
      <c r="AT13">
        <v>119</v>
      </c>
      <c r="AU13">
        <v>116</v>
      </c>
      <c r="AV13">
        <v>116</v>
      </c>
      <c r="AW13">
        <v>116</v>
      </c>
      <c r="AX13">
        <v>111</v>
      </c>
      <c r="AY13">
        <v>111</v>
      </c>
      <c r="AZ13">
        <v>111</v>
      </c>
      <c r="BA13">
        <v>106</v>
      </c>
      <c r="BB13">
        <v>106</v>
      </c>
      <c r="BC13">
        <v>106</v>
      </c>
      <c r="BD13">
        <v>102</v>
      </c>
      <c r="BE13">
        <v>102</v>
      </c>
      <c r="BF13">
        <v>102</v>
      </c>
    </row>
    <row r="14" spans="1:63" x14ac:dyDescent="0.25">
      <c r="B14" t="s">
        <v>2</v>
      </c>
      <c r="C14" s="21"/>
      <c r="D14" t="s">
        <v>8</v>
      </c>
      <c r="I14">
        <v>1</v>
      </c>
      <c r="J14">
        <v>103</v>
      </c>
      <c r="K14">
        <v>99</v>
      </c>
      <c r="L14">
        <v>95</v>
      </c>
      <c r="M14">
        <v>101</v>
      </c>
      <c r="N14">
        <v>97</v>
      </c>
      <c r="O14">
        <v>94</v>
      </c>
      <c r="P14">
        <v>97</v>
      </c>
      <c r="Q14">
        <v>94</v>
      </c>
      <c r="R14">
        <v>91</v>
      </c>
      <c r="S14">
        <v>93</v>
      </c>
      <c r="T14">
        <v>90</v>
      </c>
      <c r="U14">
        <v>88</v>
      </c>
      <c r="V14">
        <v>89</v>
      </c>
      <c r="W14">
        <v>87</v>
      </c>
      <c r="X14">
        <v>85</v>
      </c>
      <c r="Z14">
        <v>1</v>
      </c>
      <c r="AA14">
        <v>104</v>
      </c>
      <c r="AB14">
        <v>99</v>
      </c>
      <c r="AC14">
        <v>95</v>
      </c>
      <c r="AD14">
        <v>101</v>
      </c>
      <c r="AE14">
        <v>97</v>
      </c>
      <c r="AF14">
        <v>94</v>
      </c>
      <c r="AG14">
        <v>97</v>
      </c>
      <c r="AH14">
        <v>94</v>
      </c>
      <c r="AI14">
        <v>91</v>
      </c>
      <c r="AJ14">
        <v>93</v>
      </c>
      <c r="AK14">
        <v>91</v>
      </c>
      <c r="AL14">
        <v>88</v>
      </c>
      <c r="AM14">
        <v>90</v>
      </c>
      <c r="AN14">
        <v>87</v>
      </c>
      <c r="AO14">
        <v>85</v>
      </c>
      <c r="AQ14">
        <v>1</v>
      </c>
      <c r="AR14">
        <v>104</v>
      </c>
      <c r="AS14">
        <v>100</v>
      </c>
      <c r="AT14">
        <v>97</v>
      </c>
      <c r="AU14">
        <v>102</v>
      </c>
      <c r="AV14">
        <v>98</v>
      </c>
      <c r="AW14">
        <v>95</v>
      </c>
      <c r="AX14">
        <v>98</v>
      </c>
      <c r="AY14">
        <v>95</v>
      </c>
      <c r="AZ14">
        <v>92</v>
      </c>
      <c r="BA14">
        <v>94</v>
      </c>
      <c r="BB14">
        <v>91</v>
      </c>
      <c r="BC14">
        <v>89</v>
      </c>
      <c r="BD14">
        <v>90</v>
      </c>
      <c r="BE14">
        <v>88</v>
      </c>
      <c r="BF14">
        <v>86</v>
      </c>
    </row>
    <row r="15" spans="1:63" x14ac:dyDescent="0.25">
      <c r="B15" t="s">
        <v>0</v>
      </c>
      <c r="C15" s="21">
        <v>2.5</v>
      </c>
      <c r="D15" t="s">
        <v>8</v>
      </c>
      <c r="I15">
        <v>2</v>
      </c>
      <c r="J15">
        <v>90</v>
      </c>
      <c r="K15">
        <v>83</v>
      </c>
      <c r="L15">
        <v>77</v>
      </c>
      <c r="M15">
        <v>88</v>
      </c>
      <c r="N15">
        <v>82</v>
      </c>
      <c r="O15">
        <v>76</v>
      </c>
      <c r="P15">
        <v>85</v>
      </c>
      <c r="Q15">
        <v>79</v>
      </c>
      <c r="R15">
        <v>75</v>
      </c>
      <c r="S15">
        <v>81</v>
      </c>
      <c r="T15">
        <v>77</v>
      </c>
      <c r="U15">
        <v>73</v>
      </c>
      <c r="V15">
        <v>78</v>
      </c>
      <c r="W15">
        <v>74</v>
      </c>
      <c r="X15">
        <v>71</v>
      </c>
      <c r="Z15">
        <v>2</v>
      </c>
      <c r="AA15">
        <v>90</v>
      </c>
      <c r="AB15">
        <v>83</v>
      </c>
      <c r="AC15">
        <v>78</v>
      </c>
      <c r="AD15">
        <v>88</v>
      </c>
      <c r="AE15">
        <v>82</v>
      </c>
      <c r="AF15">
        <v>77</v>
      </c>
      <c r="AG15">
        <v>85</v>
      </c>
      <c r="AH15">
        <v>79</v>
      </c>
      <c r="AI15">
        <v>75</v>
      </c>
      <c r="AJ15">
        <v>82</v>
      </c>
      <c r="AK15">
        <v>77</v>
      </c>
      <c r="AL15">
        <v>73</v>
      </c>
      <c r="AM15">
        <v>78</v>
      </c>
      <c r="AN15">
        <v>75</v>
      </c>
      <c r="AO15">
        <v>71</v>
      </c>
      <c r="AQ15">
        <v>2</v>
      </c>
      <c r="AR15">
        <v>91</v>
      </c>
      <c r="AS15">
        <v>84</v>
      </c>
      <c r="AT15">
        <v>79</v>
      </c>
      <c r="AU15">
        <v>89</v>
      </c>
      <c r="AV15">
        <v>83</v>
      </c>
      <c r="AW15">
        <v>78</v>
      </c>
      <c r="AX15">
        <v>86</v>
      </c>
      <c r="AY15">
        <v>81</v>
      </c>
      <c r="AZ15">
        <v>76</v>
      </c>
      <c r="BA15">
        <v>82</v>
      </c>
      <c r="BB15">
        <v>78</v>
      </c>
      <c r="BC15">
        <v>74</v>
      </c>
      <c r="BD15">
        <v>79</v>
      </c>
      <c r="BE15">
        <v>76</v>
      </c>
      <c r="BF15">
        <v>73</v>
      </c>
    </row>
    <row r="16" spans="1:63" x14ac:dyDescent="0.25">
      <c r="B16" t="s">
        <v>4</v>
      </c>
      <c r="C16" s="18" t="e">
        <f>(5*(C14-C15)*(C11+C12))/(C11*C12)</f>
        <v>#DIV/0!</v>
      </c>
      <c r="I16">
        <v>3</v>
      </c>
      <c r="J16">
        <v>79</v>
      </c>
      <c r="K16">
        <v>71</v>
      </c>
      <c r="L16">
        <v>64</v>
      </c>
      <c r="M16">
        <v>77</v>
      </c>
      <c r="N16">
        <v>70</v>
      </c>
      <c r="O16">
        <v>64</v>
      </c>
      <c r="P16">
        <v>74</v>
      </c>
      <c r="Q16">
        <v>68</v>
      </c>
      <c r="R16">
        <v>62</v>
      </c>
      <c r="S16">
        <v>72</v>
      </c>
      <c r="T16">
        <v>66</v>
      </c>
      <c r="U16">
        <v>61</v>
      </c>
      <c r="V16">
        <v>69</v>
      </c>
      <c r="W16">
        <v>64</v>
      </c>
      <c r="X16">
        <v>60</v>
      </c>
      <c r="Z16">
        <v>3</v>
      </c>
      <c r="AA16">
        <v>79</v>
      </c>
      <c r="AB16">
        <v>71</v>
      </c>
      <c r="AC16">
        <v>64</v>
      </c>
      <c r="AD16">
        <v>78</v>
      </c>
      <c r="AE16">
        <v>70</v>
      </c>
      <c r="AF16">
        <v>64</v>
      </c>
      <c r="AG16">
        <v>75</v>
      </c>
      <c r="AH16">
        <v>68</v>
      </c>
      <c r="AI16">
        <v>63</v>
      </c>
      <c r="AJ16">
        <v>72</v>
      </c>
      <c r="AK16">
        <v>66</v>
      </c>
      <c r="AL16">
        <v>62</v>
      </c>
      <c r="AM16">
        <v>69</v>
      </c>
      <c r="AN16">
        <v>65</v>
      </c>
      <c r="AO16">
        <v>61</v>
      </c>
      <c r="AQ16">
        <v>3</v>
      </c>
      <c r="AR16">
        <v>80</v>
      </c>
      <c r="AS16">
        <v>72</v>
      </c>
      <c r="AT16">
        <v>66</v>
      </c>
      <c r="AU16">
        <v>79</v>
      </c>
      <c r="AV16">
        <v>71</v>
      </c>
      <c r="AW16">
        <v>65</v>
      </c>
      <c r="AX16">
        <v>76</v>
      </c>
      <c r="AY16">
        <v>69</v>
      </c>
      <c r="AZ16">
        <v>64</v>
      </c>
      <c r="BA16">
        <v>73</v>
      </c>
      <c r="BB16">
        <v>67</v>
      </c>
      <c r="BC16">
        <v>63</v>
      </c>
      <c r="BD16">
        <v>70</v>
      </c>
      <c r="BE16">
        <v>66</v>
      </c>
      <c r="BF16">
        <v>62</v>
      </c>
    </row>
    <row r="17" spans="1:63" x14ac:dyDescent="0.25">
      <c r="B17" t="s">
        <v>5</v>
      </c>
      <c r="C17" s="21">
        <v>80</v>
      </c>
      <c r="I17">
        <v>4</v>
      </c>
      <c r="J17">
        <v>70</v>
      </c>
      <c r="K17">
        <v>61</v>
      </c>
      <c r="L17">
        <v>54</v>
      </c>
      <c r="M17">
        <v>69</v>
      </c>
      <c r="N17">
        <v>60</v>
      </c>
      <c r="O17">
        <v>54</v>
      </c>
      <c r="P17">
        <v>66</v>
      </c>
      <c r="Q17">
        <v>59</v>
      </c>
      <c r="R17">
        <v>53</v>
      </c>
      <c r="S17">
        <v>64</v>
      </c>
      <c r="T17">
        <v>57</v>
      </c>
      <c r="U17">
        <v>52</v>
      </c>
      <c r="V17">
        <v>62</v>
      </c>
      <c r="W17">
        <v>56</v>
      </c>
      <c r="X17">
        <v>52</v>
      </c>
      <c r="Z17">
        <v>4</v>
      </c>
      <c r="AA17">
        <v>70</v>
      </c>
      <c r="AB17">
        <v>61</v>
      </c>
      <c r="AC17">
        <v>55</v>
      </c>
      <c r="AD17">
        <v>69</v>
      </c>
      <c r="AE17">
        <v>61</v>
      </c>
      <c r="AF17">
        <v>54</v>
      </c>
      <c r="AG17">
        <v>66</v>
      </c>
      <c r="AH17">
        <v>59</v>
      </c>
      <c r="AI17">
        <v>53</v>
      </c>
      <c r="AJ17">
        <v>64</v>
      </c>
      <c r="AK17">
        <v>58</v>
      </c>
      <c r="AL17">
        <v>53</v>
      </c>
      <c r="AM17">
        <v>62</v>
      </c>
      <c r="AN17">
        <v>56</v>
      </c>
      <c r="AO17">
        <v>52</v>
      </c>
      <c r="AQ17">
        <v>4</v>
      </c>
      <c r="AR17">
        <v>71</v>
      </c>
      <c r="AS17">
        <v>62</v>
      </c>
      <c r="AT17">
        <v>56</v>
      </c>
      <c r="AU17">
        <v>70</v>
      </c>
      <c r="AV17">
        <v>62</v>
      </c>
      <c r="AW17">
        <v>55</v>
      </c>
      <c r="AX17">
        <v>67</v>
      </c>
      <c r="AY17">
        <v>60</v>
      </c>
      <c r="AZ17">
        <v>54</v>
      </c>
      <c r="BA17">
        <v>65</v>
      </c>
      <c r="BB17">
        <v>59</v>
      </c>
      <c r="BC17">
        <v>54</v>
      </c>
      <c r="BD17">
        <v>63</v>
      </c>
      <c r="BE17">
        <v>57</v>
      </c>
      <c r="BF17">
        <v>53</v>
      </c>
    </row>
    <row r="18" spans="1:63" x14ac:dyDescent="0.25">
      <c r="B18" t="s">
        <v>6</v>
      </c>
      <c r="C18" s="21">
        <v>50</v>
      </c>
      <c r="I18">
        <v>5</v>
      </c>
      <c r="J18">
        <v>62</v>
      </c>
      <c r="K18">
        <v>53</v>
      </c>
      <c r="L18">
        <v>47</v>
      </c>
      <c r="M18">
        <v>61</v>
      </c>
      <c r="N18">
        <v>53</v>
      </c>
      <c r="O18">
        <v>46</v>
      </c>
      <c r="P18">
        <v>59</v>
      </c>
      <c r="Q18">
        <v>52</v>
      </c>
      <c r="R18">
        <v>46</v>
      </c>
      <c r="S18">
        <v>57</v>
      </c>
      <c r="T18">
        <v>51</v>
      </c>
      <c r="U18">
        <v>45</v>
      </c>
      <c r="V18">
        <v>55</v>
      </c>
      <c r="W18">
        <v>50</v>
      </c>
      <c r="X18">
        <v>45</v>
      </c>
      <c r="Z18">
        <v>5</v>
      </c>
      <c r="AA18">
        <v>63</v>
      </c>
      <c r="AB18">
        <v>54</v>
      </c>
      <c r="AC18">
        <v>47</v>
      </c>
      <c r="AD18">
        <v>62</v>
      </c>
      <c r="AE18">
        <v>53</v>
      </c>
      <c r="AF18">
        <v>47</v>
      </c>
      <c r="AG18">
        <v>59</v>
      </c>
      <c r="AH18">
        <v>52</v>
      </c>
      <c r="AI18">
        <v>46</v>
      </c>
      <c r="AJ18">
        <v>57</v>
      </c>
      <c r="AK18">
        <v>51</v>
      </c>
      <c r="AL18">
        <v>46</v>
      </c>
      <c r="AM18">
        <v>56</v>
      </c>
      <c r="AN18">
        <v>50</v>
      </c>
      <c r="AO18">
        <v>45</v>
      </c>
      <c r="AQ18">
        <v>5</v>
      </c>
      <c r="AR18">
        <v>63</v>
      </c>
      <c r="AS18">
        <v>55</v>
      </c>
      <c r="AT18">
        <v>48</v>
      </c>
      <c r="AU18">
        <v>62</v>
      </c>
      <c r="AV18">
        <v>54</v>
      </c>
      <c r="AW18">
        <v>48</v>
      </c>
      <c r="AX18">
        <v>60</v>
      </c>
      <c r="AY18">
        <v>53</v>
      </c>
      <c r="AZ18">
        <v>47</v>
      </c>
      <c r="BA18">
        <v>58</v>
      </c>
      <c r="BB18">
        <v>52</v>
      </c>
      <c r="BC18">
        <v>47</v>
      </c>
      <c r="BD18">
        <v>56</v>
      </c>
      <c r="BE18">
        <v>51</v>
      </c>
      <c r="BF18">
        <v>46</v>
      </c>
    </row>
    <row r="19" spans="1:63" x14ac:dyDescent="0.25">
      <c r="B19" t="s">
        <v>7</v>
      </c>
      <c r="C19">
        <v>20</v>
      </c>
      <c r="I19">
        <v>6</v>
      </c>
      <c r="J19">
        <v>56</v>
      </c>
      <c r="K19">
        <v>47</v>
      </c>
      <c r="L19">
        <v>41</v>
      </c>
      <c r="M19">
        <v>55</v>
      </c>
      <c r="N19">
        <v>47</v>
      </c>
      <c r="O19">
        <v>41</v>
      </c>
      <c r="P19">
        <v>53</v>
      </c>
      <c r="Q19">
        <v>46</v>
      </c>
      <c r="R19">
        <v>40</v>
      </c>
      <c r="S19">
        <v>52</v>
      </c>
      <c r="T19">
        <v>45</v>
      </c>
      <c r="U19">
        <v>40</v>
      </c>
      <c r="V19">
        <v>50</v>
      </c>
      <c r="W19">
        <v>44</v>
      </c>
      <c r="X19">
        <v>39</v>
      </c>
      <c r="Z19">
        <v>6</v>
      </c>
      <c r="AA19">
        <v>56</v>
      </c>
      <c r="AB19">
        <v>47</v>
      </c>
      <c r="AC19">
        <v>41</v>
      </c>
      <c r="AD19">
        <v>56</v>
      </c>
      <c r="AE19">
        <v>47</v>
      </c>
      <c r="AF19">
        <v>41</v>
      </c>
      <c r="AG19">
        <v>54</v>
      </c>
      <c r="AH19">
        <v>46</v>
      </c>
      <c r="AI19">
        <v>40</v>
      </c>
      <c r="AJ19">
        <v>52</v>
      </c>
      <c r="AK19">
        <v>45</v>
      </c>
      <c r="AL19">
        <v>40</v>
      </c>
      <c r="AM19">
        <v>50</v>
      </c>
      <c r="AN19">
        <v>44</v>
      </c>
      <c r="AO19">
        <v>40</v>
      </c>
      <c r="AQ19">
        <v>6</v>
      </c>
      <c r="AR19">
        <v>57</v>
      </c>
      <c r="AS19">
        <v>48</v>
      </c>
      <c r="AT19">
        <v>42</v>
      </c>
      <c r="AU19">
        <v>56</v>
      </c>
      <c r="AV19">
        <v>48</v>
      </c>
      <c r="AW19">
        <v>42</v>
      </c>
      <c r="AX19">
        <v>54</v>
      </c>
      <c r="AY19">
        <v>47</v>
      </c>
      <c r="AZ19">
        <v>41</v>
      </c>
      <c r="BA19">
        <v>53</v>
      </c>
      <c r="BB19">
        <v>46</v>
      </c>
      <c r="BC19">
        <v>41</v>
      </c>
      <c r="BD19">
        <v>51</v>
      </c>
      <c r="BE19">
        <v>45</v>
      </c>
      <c r="BF19">
        <v>41</v>
      </c>
    </row>
    <row r="20" spans="1:63" x14ac:dyDescent="0.25">
      <c r="I20">
        <v>7</v>
      </c>
      <c r="J20">
        <v>51</v>
      </c>
      <c r="K20">
        <v>42</v>
      </c>
      <c r="L20">
        <v>36</v>
      </c>
      <c r="M20">
        <v>50</v>
      </c>
      <c r="N20">
        <v>42</v>
      </c>
      <c r="O20">
        <v>36</v>
      </c>
      <c r="P20">
        <v>49</v>
      </c>
      <c r="Q20">
        <v>41</v>
      </c>
      <c r="R20">
        <v>36</v>
      </c>
      <c r="S20">
        <v>47</v>
      </c>
      <c r="T20">
        <v>40</v>
      </c>
      <c r="U20">
        <v>35</v>
      </c>
      <c r="V20">
        <v>46</v>
      </c>
      <c r="W20">
        <v>40</v>
      </c>
      <c r="X20">
        <v>35</v>
      </c>
      <c r="Z20">
        <v>7</v>
      </c>
      <c r="AA20">
        <v>51</v>
      </c>
      <c r="AB20">
        <v>42</v>
      </c>
      <c r="AC20">
        <v>36</v>
      </c>
      <c r="AD20">
        <v>50</v>
      </c>
      <c r="AE20">
        <v>42</v>
      </c>
      <c r="AF20">
        <v>36</v>
      </c>
      <c r="AG20">
        <v>49</v>
      </c>
      <c r="AH20">
        <v>41</v>
      </c>
      <c r="AI20">
        <v>36</v>
      </c>
      <c r="AJ20">
        <v>47</v>
      </c>
      <c r="AK20">
        <v>41</v>
      </c>
      <c r="AL20">
        <v>36</v>
      </c>
      <c r="AM20">
        <v>46</v>
      </c>
      <c r="AN20">
        <v>40</v>
      </c>
      <c r="AO20">
        <v>35</v>
      </c>
      <c r="AQ20">
        <v>7</v>
      </c>
      <c r="AR20">
        <v>52</v>
      </c>
      <c r="AS20">
        <v>43</v>
      </c>
      <c r="AT20">
        <v>37</v>
      </c>
      <c r="AU20">
        <v>51</v>
      </c>
      <c r="AV20">
        <v>43</v>
      </c>
      <c r="AW20">
        <v>37</v>
      </c>
      <c r="AX20">
        <v>49</v>
      </c>
      <c r="AY20">
        <v>42</v>
      </c>
      <c r="AZ20">
        <v>37</v>
      </c>
      <c r="BA20">
        <v>48</v>
      </c>
      <c r="BB20">
        <v>41</v>
      </c>
      <c r="BC20">
        <v>36</v>
      </c>
      <c r="BD20">
        <v>47</v>
      </c>
      <c r="BE20">
        <v>41</v>
      </c>
      <c r="BF20">
        <v>36</v>
      </c>
    </row>
    <row r="21" spans="1:63" x14ac:dyDescent="0.25">
      <c r="A21" s="2" t="s">
        <v>37</v>
      </c>
      <c r="B21" t="s">
        <v>32</v>
      </c>
      <c r="C21" s="21"/>
      <c r="E21" s="14">
        <f>IF(ISNUMBER(SEARCH("24",C21)),24,IF(ISNUMBER(SEARCH("22",C21)),22,14))</f>
        <v>14</v>
      </c>
      <c r="I21">
        <v>8</v>
      </c>
      <c r="J21">
        <v>47</v>
      </c>
      <c r="K21">
        <v>38</v>
      </c>
      <c r="L21">
        <v>32</v>
      </c>
      <c r="M21">
        <v>46</v>
      </c>
      <c r="N21">
        <v>38</v>
      </c>
      <c r="O21">
        <v>32</v>
      </c>
      <c r="P21">
        <v>45</v>
      </c>
      <c r="Q21">
        <v>37</v>
      </c>
      <c r="R21">
        <v>32</v>
      </c>
      <c r="S21">
        <v>43</v>
      </c>
      <c r="T21">
        <v>37</v>
      </c>
      <c r="U21">
        <v>32</v>
      </c>
      <c r="V21">
        <v>42</v>
      </c>
      <c r="W21">
        <v>36</v>
      </c>
      <c r="X21">
        <v>31</v>
      </c>
      <c r="Z21">
        <v>8</v>
      </c>
      <c r="AA21">
        <v>47</v>
      </c>
      <c r="AB21">
        <v>38</v>
      </c>
      <c r="AC21">
        <v>32</v>
      </c>
      <c r="AD21">
        <v>46</v>
      </c>
      <c r="AE21">
        <v>38</v>
      </c>
      <c r="AF21">
        <v>32</v>
      </c>
      <c r="AG21">
        <v>45</v>
      </c>
      <c r="AH21">
        <v>37</v>
      </c>
      <c r="AI21">
        <v>32</v>
      </c>
      <c r="AJ21">
        <v>43</v>
      </c>
      <c r="AK21">
        <v>37</v>
      </c>
      <c r="AL21">
        <v>32</v>
      </c>
      <c r="AM21">
        <v>42</v>
      </c>
      <c r="AN21">
        <v>36</v>
      </c>
      <c r="AO21">
        <v>32</v>
      </c>
      <c r="AQ21">
        <v>8</v>
      </c>
      <c r="AR21">
        <v>47</v>
      </c>
      <c r="AS21">
        <v>39</v>
      </c>
      <c r="AT21">
        <v>33</v>
      </c>
      <c r="AU21">
        <v>47</v>
      </c>
      <c r="AV21">
        <v>38</v>
      </c>
      <c r="AW21">
        <v>33</v>
      </c>
      <c r="AX21">
        <v>45</v>
      </c>
      <c r="AY21">
        <v>38</v>
      </c>
      <c r="AZ21">
        <v>33</v>
      </c>
      <c r="BA21">
        <v>44</v>
      </c>
      <c r="BB21">
        <v>37</v>
      </c>
      <c r="BC21">
        <v>32</v>
      </c>
      <c r="BD21">
        <v>43</v>
      </c>
      <c r="BE21">
        <v>37</v>
      </c>
      <c r="BF21">
        <v>32</v>
      </c>
    </row>
    <row r="22" spans="1:63" x14ac:dyDescent="0.25">
      <c r="B22" t="s">
        <v>30</v>
      </c>
      <c r="C22" s="6" t="e">
        <f>VLOOKUP(C21,Model533[],2,0)</f>
        <v>#N/A</v>
      </c>
      <c r="D22" t="s">
        <v>52</v>
      </c>
      <c r="E22" s="15"/>
      <c r="I22">
        <v>9</v>
      </c>
      <c r="J22">
        <v>43</v>
      </c>
      <c r="K22">
        <v>34</v>
      </c>
      <c r="L22">
        <v>29</v>
      </c>
      <c r="M22">
        <v>42</v>
      </c>
      <c r="N22">
        <v>34</v>
      </c>
      <c r="O22">
        <v>29</v>
      </c>
      <c r="P22">
        <v>41</v>
      </c>
      <c r="Q22">
        <v>34</v>
      </c>
      <c r="R22">
        <v>29</v>
      </c>
      <c r="S22">
        <v>40</v>
      </c>
      <c r="T22">
        <v>33</v>
      </c>
      <c r="U22">
        <v>28</v>
      </c>
      <c r="V22">
        <v>39</v>
      </c>
      <c r="W22">
        <v>33</v>
      </c>
      <c r="X22">
        <v>28</v>
      </c>
      <c r="Z22">
        <v>9</v>
      </c>
      <c r="AA22">
        <v>43</v>
      </c>
      <c r="AB22">
        <v>35</v>
      </c>
      <c r="AC22">
        <v>29</v>
      </c>
      <c r="AD22">
        <v>42</v>
      </c>
      <c r="AE22">
        <v>34</v>
      </c>
      <c r="AF22">
        <v>29</v>
      </c>
      <c r="AG22">
        <v>41</v>
      </c>
      <c r="AH22">
        <v>34</v>
      </c>
      <c r="AI22">
        <v>29</v>
      </c>
      <c r="AJ22">
        <v>40</v>
      </c>
      <c r="AK22">
        <v>33</v>
      </c>
      <c r="AL22">
        <v>29</v>
      </c>
      <c r="AM22">
        <v>39</v>
      </c>
      <c r="AN22">
        <v>33</v>
      </c>
      <c r="AO22">
        <v>29</v>
      </c>
      <c r="AQ22">
        <v>9</v>
      </c>
      <c r="AR22">
        <v>43</v>
      </c>
      <c r="AS22">
        <v>35</v>
      </c>
      <c r="AT22">
        <v>30</v>
      </c>
      <c r="AU22">
        <v>43</v>
      </c>
      <c r="AV22">
        <v>35</v>
      </c>
      <c r="AW22">
        <v>30</v>
      </c>
      <c r="AX22">
        <v>42</v>
      </c>
      <c r="AY22">
        <v>34</v>
      </c>
      <c r="AZ22">
        <v>29</v>
      </c>
      <c r="BA22">
        <v>41</v>
      </c>
      <c r="BB22">
        <v>34</v>
      </c>
      <c r="BC22">
        <v>29</v>
      </c>
      <c r="BD22">
        <v>40</v>
      </c>
      <c r="BE22">
        <v>33</v>
      </c>
      <c r="BF22">
        <v>29</v>
      </c>
    </row>
    <row r="23" spans="1:63" x14ac:dyDescent="0.25">
      <c r="B23" t="s">
        <v>31</v>
      </c>
      <c r="C23" t="e">
        <f>VLOOKUP(C21,Model533[],3,FALSE)</f>
        <v>#N/A</v>
      </c>
      <c r="D23" t="s">
        <v>53</v>
      </c>
      <c r="I23">
        <v>10</v>
      </c>
      <c r="J23">
        <v>39</v>
      </c>
      <c r="K23">
        <v>31</v>
      </c>
      <c r="L23">
        <v>26</v>
      </c>
      <c r="M23">
        <v>39</v>
      </c>
      <c r="N23">
        <v>31</v>
      </c>
      <c r="O23">
        <v>26</v>
      </c>
      <c r="P23">
        <v>38</v>
      </c>
      <c r="Q23">
        <v>31</v>
      </c>
      <c r="R23">
        <v>26</v>
      </c>
      <c r="S23">
        <v>37</v>
      </c>
      <c r="T23">
        <v>30</v>
      </c>
      <c r="U23">
        <v>26</v>
      </c>
      <c r="V23">
        <v>36</v>
      </c>
      <c r="W23">
        <v>30</v>
      </c>
      <c r="X23">
        <v>26</v>
      </c>
      <c r="Z23">
        <v>10</v>
      </c>
      <c r="AA23">
        <v>40</v>
      </c>
      <c r="AB23">
        <v>32</v>
      </c>
      <c r="AC23">
        <v>26</v>
      </c>
      <c r="AD23">
        <v>39</v>
      </c>
      <c r="AE23">
        <v>31</v>
      </c>
      <c r="AF23">
        <v>26</v>
      </c>
      <c r="AG23">
        <v>38</v>
      </c>
      <c r="AH23">
        <v>31</v>
      </c>
      <c r="AI23">
        <v>26</v>
      </c>
      <c r="AJ23">
        <v>37</v>
      </c>
      <c r="AK23">
        <v>31</v>
      </c>
      <c r="AL23">
        <v>26</v>
      </c>
      <c r="AM23">
        <v>36</v>
      </c>
      <c r="AN23">
        <v>30</v>
      </c>
      <c r="AO23">
        <v>26</v>
      </c>
      <c r="AQ23">
        <v>10</v>
      </c>
      <c r="AR23">
        <v>40</v>
      </c>
      <c r="AS23">
        <v>32</v>
      </c>
      <c r="AT23">
        <v>27</v>
      </c>
      <c r="AU23">
        <v>39</v>
      </c>
      <c r="AV23">
        <v>32</v>
      </c>
      <c r="AW23">
        <v>27</v>
      </c>
      <c r="AX23">
        <v>38</v>
      </c>
      <c r="AY23">
        <v>31</v>
      </c>
      <c r="AZ23">
        <v>27</v>
      </c>
      <c r="BA23">
        <v>38</v>
      </c>
      <c r="BB23">
        <v>31</v>
      </c>
      <c r="BC23">
        <v>27</v>
      </c>
      <c r="BD23">
        <v>37</v>
      </c>
      <c r="BE23">
        <v>31</v>
      </c>
      <c r="BF23">
        <v>26</v>
      </c>
    </row>
    <row r="24" spans="1:63" x14ac:dyDescent="0.25">
      <c r="B24" t="s">
        <v>3</v>
      </c>
      <c r="C24" s="13" t="e">
        <f t="array" ref="C24">INDEX(CUtable432[],MATCH(1,(CUtable432[RC]=C17)*(CUtable432[RW]=C18)*(CUtable432[Size]=E21),0),4)</f>
        <v>#DIV/0!</v>
      </c>
      <c r="H24" s="7"/>
    </row>
    <row r="25" spans="1:63" x14ac:dyDescent="0.25">
      <c r="B25" t="s">
        <v>54</v>
      </c>
      <c r="C25" s="13">
        <f>VLOOKUP(E21,Table8121737[],2,FALSE)</f>
        <v>1.26</v>
      </c>
      <c r="H25" s="7"/>
      <c r="I25" t="s">
        <v>63</v>
      </c>
      <c r="J25" t="e">
        <f t="shared" ref="J25:X25" si="0">(J26*J30^3)+(J27*J30^2)+(J28*J30)+J29</f>
        <v>#DIV/0!</v>
      </c>
      <c r="K25" t="e">
        <f t="shared" si="0"/>
        <v>#DIV/0!</v>
      </c>
      <c r="L25" t="e">
        <f t="shared" si="0"/>
        <v>#DIV/0!</v>
      </c>
      <c r="M25" t="e">
        <f t="shared" si="0"/>
        <v>#DIV/0!</v>
      </c>
      <c r="N25" t="e">
        <f t="shared" si="0"/>
        <v>#DIV/0!</v>
      </c>
      <c r="O25" t="e">
        <f t="shared" si="0"/>
        <v>#DIV/0!</v>
      </c>
      <c r="P25" t="e">
        <f t="shared" si="0"/>
        <v>#DIV/0!</v>
      </c>
      <c r="Q25" t="e">
        <f t="shared" si="0"/>
        <v>#DIV/0!</v>
      </c>
      <c r="R25" t="e">
        <f t="shared" si="0"/>
        <v>#DIV/0!</v>
      </c>
      <c r="S25" t="e">
        <f t="shared" si="0"/>
        <v>#DIV/0!</v>
      </c>
      <c r="T25" t="e">
        <f t="shared" si="0"/>
        <v>#DIV/0!</v>
      </c>
      <c r="U25" t="e">
        <f t="shared" si="0"/>
        <v>#DIV/0!</v>
      </c>
      <c r="V25" t="e">
        <f t="shared" si="0"/>
        <v>#DIV/0!</v>
      </c>
      <c r="W25" t="e">
        <f t="shared" si="0"/>
        <v>#DIV/0!</v>
      </c>
      <c r="X25" t="e">
        <f t="shared" si="0"/>
        <v>#DIV/0!</v>
      </c>
      <c r="Z25" t="s">
        <v>63</v>
      </c>
      <c r="AA25" t="e">
        <f t="shared" ref="AA25:AO25" si="1">(AA26*AA30^3)+(AA27*AA30^2)+(AA28*AA30)+AA29</f>
        <v>#DIV/0!</v>
      </c>
      <c r="AB25" t="e">
        <f t="shared" si="1"/>
        <v>#DIV/0!</v>
      </c>
      <c r="AC25" t="e">
        <f t="shared" si="1"/>
        <v>#DIV/0!</v>
      </c>
      <c r="AD25" t="e">
        <f t="shared" si="1"/>
        <v>#DIV/0!</v>
      </c>
      <c r="AE25" t="e">
        <f t="shared" si="1"/>
        <v>#DIV/0!</v>
      </c>
      <c r="AF25" t="e">
        <f t="shared" si="1"/>
        <v>#DIV/0!</v>
      </c>
      <c r="AG25" t="e">
        <f t="shared" si="1"/>
        <v>#DIV/0!</v>
      </c>
      <c r="AH25" t="e">
        <f t="shared" si="1"/>
        <v>#DIV/0!</v>
      </c>
      <c r="AI25" t="e">
        <f t="shared" si="1"/>
        <v>#DIV/0!</v>
      </c>
      <c r="AJ25" t="e">
        <f t="shared" si="1"/>
        <v>#DIV/0!</v>
      </c>
      <c r="AK25" t="e">
        <f t="shared" si="1"/>
        <v>#DIV/0!</v>
      </c>
      <c r="AL25" t="e">
        <f t="shared" si="1"/>
        <v>#DIV/0!</v>
      </c>
      <c r="AM25" t="e">
        <f t="shared" si="1"/>
        <v>#DIV/0!</v>
      </c>
      <c r="AN25" t="e">
        <f t="shared" si="1"/>
        <v>#DIV/0!</v>
      </c>
      <c r="AO25" t="e">
        <f t="shared" si="1"/>
        <v>#DIV/0!</v>
      </c>
      <c r="AQ25" t="s">
        <v>63</v>
      </c>
      <c r="AR25" t="e">
        <f t="shared" ref="AR25:BF25" si="2">(AR26*AR30^3)+(AR27*AR30^2)+(AR28*AR30)+AR29</f>
        <v>#DIV/0!</v>
      </c>
      <c r="AS25" t="e">
        <f t="shared" si="2"/>
        <v>#DIV/0!</v>
      </c>
      <c r="AT25" t="e">
        <f t="shared" si="2"/>
        <v>#DIV/0!</v>
      </c>
      <c r="AU25" t="e">
        <f t="shared" si="2"/>
        <v>#DIV/0!</v>
      </c>
      <c r="AV25" t="e">
        <f t="shared" si="2"/>
        <v>#DIV/0!</v>
      </c>
      <c r="AW25" t="e">
        <f t="shared" si="2"/>
        <v>#DIV/0!</v>
      </c>
      <c r="AX25" t="e">
        <f t="shared" si="2"/>
        <v>#DIV/0!</v>
      </c>
      <c r="AY25" t="e">
        <f t="shared" si="2"/>
        <v>#DIV/0!</v>
      </c>
      <c r="AZ25" t="e">
        <f t="shared" si="2"/>
        <v>#DIV/0!</v>
      </c>
      <c r="BA25" t="e">
        <f t="shared" si="2"/>
        <v>#DIV/0!</v>
      </c>
      <c r="BB25" t="e">
        <f t="shared" si="2"/>
        <v>#DIV/0!</v>
      </c>
      <c r="BC25" t="e">
        <f t="shared" si="2"/>
        <v>#DIV/0!</v>
      </c>
      <c r="BD25" t="e">
        <f t="shared" si="2"/>
        <v>#DIV/0!</v>
      </c>
      <c r="BE25" t="e">
        <f t="shared" si="2"/>
        <v>#DIV/0!</v>
      </c>
      <c r="BF25" t="e">
        <f t="shared" si="2"/>
        <v>#DIV/0!</v>
      </c>
    </row>
    <row r="26" spans="1:63" x14ac:dyDescent="0.25">
      <c r="B26" t="s">
        <v>55</v>
      </c>
      <c r="C26" s="13">
        <f>VLOOKUP(E21,Table8121737[],3,FALSE)</f>
        <v>1.3</v>
      </c>
      <c r="H26" s="7"/>
      <c r="I26" t="s">
        <v>64</v>
      </c>
      <c r="J26">
        <f>INDEX(LINEST(Table2x431[CU],Table2x431[RCR]^{1,2,3}),1)</f>
        <v>-4.9339549339549676E-2</v>
      </c>
      <c r="K26">
        <f>INDEX(LINEST(Table2x431[CU1],Table2x431[RCR]^{1,2,3}),1)</f>
        <v>-7.7117327117327647E-2</v>
      </c>
      <c r="L26">
        <f>INDEX(LINEST(Table2x431[CU2],Table2x431[RCR]^{1,2,3}),1)</f>
        <v>-0.11227661227661243</v>
      </c>
      <c r="M26">
        <f>INDEX(LINEST(Table2x431[CU3],Table2x431[RCR]^{1,2,3}),1)</f>
        <v>-4.1763791763792128E-2</v>
      </c>
      <c r="N26">
        <f>INDEX(LINEST(Table2x431[CU4],Table2x431[RCR]^{1,2,3}),1)</f>
        <v>-7.3426573426574063E-2</v>
      </c>
      <c r="O26">
        <f>INDEX(LINEST(Table2x431[CU5],Table2x431[RCR]^{1,2,3}),1)</f>
        <v>-0.10023310023310081</v>
      </c>
      <c r="P26">
        <f>INDEX(LINEST(Table2x431[CU6],Table2x431[RCR]^{1,2,3}),1)</f>
        <v>-4.2152292152292679E-2</v>
      </c>
      <c r="Q26">
        <f>INDEX(LINEST(Table2x431[CU7],Table2x431[RCR]^{1,2,3}),1)</f>
        <v>-6.0800310800311223E-2</v>
      </c>
      <c r="R26">
        <f>INDEX(LINEST(Table2x431[CU8],Table2x431[RCR]^{1,2,3}),1)</f>
        <v>-8.780108780108821E-2</v>
      </c>
      <c r="S26">
        <f>INDEX(LINEST(Table2x431[CU9],Table2x431[RCR]^{1,2,3}),1)</f>
        <v>-3.3605283605283837E-2</v>
      </c>
      <c r="T26">
        <f>INDEX(LINEST(Table2x431[CU10],Table2x431[RCR]^{1,2,3}),1)</f>
        <v>-5.6721056721057157E-2</v>
      </c>
      <c r="U26">
        <f>INDEX(LINEST(Table2x431[CU11],Table2x431[RCR]^{1,2,3}),1)</f>
        <v>-7.2261072261072756E-2</v>
      </c>
      <c r="V26">
        <f>INDEX(LINEST(Table2x431[CU12],Table2x431[RCR]^{1,2,3}),1)</f>
        <v>-3.7101787101787374E-2</v>
      </c>
      <c r="W26">
        <f>INDEX(LINEST(Table2x431[CU13],Table2x431[RCR]^{1,2,3}),1)</f>
        <v>-5.4390054390054884E-2</v>
      </c>
      <c r="X26">
        <f>INDEX(LINEST(Table2x431[CU14],Table2x431[RCR]^{1,2,3}),1)</f>
        <v>-5.846930846930868E-2</v>
      </c>
      <c r="Z26" t="s">
        <v>64</v>
      </c>
      <c r="AA26">
        <f>INDEX(LINEST(Table2x238[CU],Table2x238[RCR]^{1,2,3}),1)</f>
        <v>-4.2346542346542997E-2</v>
      </c>
      <c r="AB26">
        <f>INDEX(LINEST(Table2x238[CU1],Table2x238[RCR]^{1,2,3}),1)</f>
        <v>-7.2455322455322935E-2</v>
      </c>
      <c r="AC26">
        <f>INDEX(LINEST(Table2x238[CU2],Table2x238[RCR]^{1,2,3}),1)</f>
        <v>-0.10528360528360553</v>
      </c>
      <c r="AD26">
        <f>INDEX(LINEST(Table2x238[CU3],Table2x238[RCR]^{1,2,3}),1)</f>
        <v>-4.0015540015540516E-2</v>
      </c>
      <c r="AE26">
        <f>INDEX(LINEST(Table2x238[CU4],Table2x238[RCR]^{1,2,3}),1)</f>
        <v>-7.0707070707071037E-2</v>
      </c>
      <c r="AF26">
        <f>INDEX(LINEST(Table2x238[CU5],Table2x238[RCR]^{1,2,3}),1)</f>
        <v>-9.5959595959596231E-2</v>
      </c>
      <c r="AG26">
        <f>INDEX(LINEST(Table2x238[CU6],Table2x238[RCR]^{1,2,3}),1)</f>
        <v>-4.0404040404040699E-2</v>
      </c>
      <c r="AH26">
        <f>INDEX(LINEST(Table2x238[CU7],Table2x238[RCR]^{1,2,3}),1)</f>
        <v>-6.0800310800311223E-2</v>
      </c>
      <c r="AI26">
        <f>INDEX(LINEST(Table2x238[CU8],Table2x238[RCR]^{1,2,3}),1)</f>
        <v>-8.3333333333333662E-2</v>
      </c>
      <c r="AJ26">
        <f>INDEX(LINEST(Table2x238[CU9],Table2x238[RCR]^{1,2,3}),1)</f>
        <v>-2.9331779331779547E-2</v>
      </c>
      <c r="AK26">
        <f>INDEX(LINEST(Table2x238[CU10],Table2x238[RCR]^{1,2,3}),1)</f>
        <v>-5.1476301476301806E-2</v>
      </c>
      <c r="AL26">
        <f>INDEX(LINEST(Table2x238[CU11],Table2x238[RCR]^{1,2,3}),1)</f>
        <v>-7.0707070707070954E-2</v>
      </c>
      <c r="AM26">
        <f>INDEX(LINEST(Table2x238[CU12],Table2x238[RCR]^{1,2,3}),1)</f>
        <v>-3.5936285936286214E-2</v>
      </c>
      <c r="AN26">
        <f>INDEX(LINEST(Table2x238[CU13],Table2x238[RCR]^{1,2,3}),1)</f>
        <v>-4.5648795648795905E-2</v>
      </c>
      <c r="AO26">
        <f>INDEX(LINEST(Table2x238[CU14],Table2x238[RCR]^{1,2,3}),1)</f>
        <v>-6.2160062160062174E-2</v>
      </c>
      <c r="AQ26" t="s">
        <v>64</v>
      </c>
      <c r="AR26">
        <f>INDEX(LINEST(Table1x440[CU],Table1x440[RCR]^{1,2,3}),1)</f>
        <v>-3.8073038073038301E-2</v>
      </c>
      <c r="AS26">
        <f>INDEX(LINEST(Table1x440[CU1],Table1x440[RCR]^{1,2,3}),1)</f>
        <v>-7.1289821289821781E-2</v>
      </c>
      <c r="AT26">
        <f>INDEX(LINEST(Table1x440[CU2],Table1x440[RCR]^{1,2,3}),1)</f>
        <v>-9.3822843822844268E-2</v>
      </c>
      <c r="AU26">
        <f>INDEX(LINEST(Table1x440[CU3],Table1x440[RCR]^{1,2,3}),1)</f>
        <v>-3.72960372960374E-2</v>
      </c>
      <c r="AV26">
        <f>INDEX(LINEST(Table1x440[CU4],Table1x440[RCR]^{1,2,3}),1)</f>
        <v>-6.0606060606061121E-2</v>
      </c>
      <c r="AW26">
        <f>INDEX(LINEST(Table1x440[CU5],Table1x440[RCR]^{1,2,3}),1)</f>
        <v>-9.0132090132090559E-2</v>
      </c>
      <c r="AX26">
        <f>INDEX(LINEST(Table1x440[CU6],Table1x440[RCR]^{1,2,3}),1)</f>
        <v>-2.8943278943279038E-2</v>
      </c>
      <c r="AY26">
        <f>INDEX(LINEST(Table1x440[CU7],Table1x440[RCR]^{1,2,3}),1)</f>
        <v>-5.5361305361305457E-2</v>
      </c>
      <c r="AZ26">
        <f>INDEX(LINEST(Table1x440[CU8],Table1x440[RCR]^{1,2,3}),1)</f>
        <v>-7.6340326340326545E-2</v>
      </c>
      <c r="BA26">
        <f>INDEX(LINEST(Table1x440[CU9],Table1x440[RCR]^{1,2,3}),1)</f>
        <v>-2.7777777777778102E-2</v>
      </c>
      <c r="BB26">
        <f>INDEX(LINEST(Table1x440[CU10],Table1x440[RCR]^{1,2,3}),1)</f>
        <v>-4.390054390054407E-2</v>
      </c>
      <c r="BC26">
        <f>INDEX(LINEST(Table1x440[CU11],Table1x440[RCR]^{1,2,3}),1)</f>
        <v>-5.4972804972805267E-2</v>
      </c>
      <c r="BD26">
        <f>INDEX(LINEST(Table1x440[CU12],Table1x440[RCR]^{1,2,3}),1)</f>
        <v>-3.1274281274281585E-2</v>
      </c>
      <c r="BE26">
        <f>INDEX(LINEST(Table1x440[CU13],Table1x440[RCR]^{1,2,3}),1)</f>
        <v>-3.8655788655788961E-2</v>
      </c>
      <c r="BF26">
        <f>INDEX(LINEST(Table1x440[CU14],Table1x440[RCR]^{1,2,3}),1)</f>
        <v>-5.2447552447552781E-2</v>
      </c>
    </row>
    <row r="27" spans="1:63" x14ac:dyDescent="0.25">
      <c r="B27" t="s">
        <v>46</v>
      </c>
      <c r="C27" s="22">
        <v>0.9</v>
      </c>
      <c r="H27" s="7"/>
      <c r="I27" t="s">
        <v>65</v>
      </c>
      <c r="J27">
        <f t="array" ref="J27">INDEX(LINEST(Table2x431[CU],Table2x431[RCR]^{1,2,3}),1,2)</f>
        <v>1.4102564102564146</v>
      </c>
      <c r="K27">
        <f>INDEX(LINEST(Table2x431[CU1],Table2x431[RCR]^{1,2,3}),1,2)</f>
        <v>2.0273892773892843</v>
      </c>
      <c r="L27">
        <f>INDEX(LINEST(Table2x431[CU2],Table2x431[RCR]^{1,2,3}),1,2)</f>
        <v>2.7156177156177161</v>
      </c>
      <c r="M27">
        <f>INDEX(LINEST(Table2x431[CU3],Table2x431[RCR]^{1,2,3}),1,2)</f>
        <v>1.2803030303030358</v>
      </c>
      <c r="N27">
        <f>INDEX(LINEST(Table2x431[CU4],Table2x431[RCR]^{1,2,3}),1,2)</f>
        <v>1.9242424242424336</v>
      </c>
      <c r="O27">
        <f>INDEX(LINEST(Table2x431[CU5],Table2x431[RCR]^{1,2,3}),1,2)</f>
        <v>2.4883449883449962</v>
      </c>
      <c r="P27">
        <f>INDEX(LINEST(Table2x431[CU6],Table2x431[RCR]^{1,2,3}),1,2)</f>
        <v>1.2546620046620127</v>
      </c>
      <c r="Q27">
        <f>INDEX(LINEST(Table2x431[CU7],Table2x431[RCR]^{1,2,3}),1,2)</f>
        <v>1.6847319347319412</v>
      </c>
      <c r="R27">
        <f>INDEX(LINEST(Table2x431[CU8],Table2x431[RCR]^{1,2,3}),1,2)</f>
        <v>2.2296037296037352</v>
      </c>
      <c r="S27">
        <f>INDEX(LINEST(Table2x431[CU9],Table2x431[RCR]^{1,2,3}),1,2)</f>
        <v>1.0763403263403297</v>
      </c>
      <c r="T27">
        <f>INDEX(LINEST(Table2x431[CU10],Table2x431[RCR]^{1,2,3}),1,2)</f>
        <v>1.5501165501165566</v>
      </c>
      <c r="U27">
        <f>INDEX(LINEST(Table2x431[CU11],Table2x431[RCR]^{1,2,3}),1,2)</f>
        <v>1.9195804195804262</v>
      </c>
      <c r="V27">
        <f>INDEX(LINEST(Table2x431[CU12],Table2x431[RCR]^{1,2,3}),1,2)</f>
        <v>1.1043123543123585</v>
      </c>
      <c r="W27">
        <f>INDEX(LINEST(Table2x431[CU13],Table2x431[RCR]^{1,2,3}),1,2)</f>
        <v>1.4755244755244821</v>
      </c>
      <c r="X27">
        <f>INDEX(LINEST(Table2x431[CU14],Table2x431[RCR]^{1,2,3}),1,2)</f>
        <v>1.6427738927738949</v>
      </c>
      <c r="Z27" t="s">
        <v>65</v>
      </c>
      <c r="AA27">
        <f>INDEX(LINEST(Table2x238[CU],Table2x238[RCR]^{1,2,3}),1,2)</f>
        <v>1.3181818181818279</v>
      </c>
      <c r="AB27">
        <f>INDEX(LINEST(Table2x238[CU1],Table2x238[RCR]^{1,2,3}),1,2)</f>
        <v>1.9702797202797266</v>
      </c>
      <c r="AC27">
        <f>INDEX(LINEST(Table2x238[CU2],Table2x238[RCR]^{1,2,3}),1,2)</f>
        <v>2.5990675990676015</v>
      </c>
      <c r="AD27">
        <f>INDEX(LINEST(Table2x238[CU3],Table2x238[RCR]^{1,2,3}),1,2)</f>
        <v>1.2249417249417325</v>
      </c>
      <c r="AE27">
        <f>INDEX(LINEST(Table2x238[CU4],Table2x238[RCR]^{1,2,3}),1,2)</f>
        <v>1.8729603729603772</v>
      </c>
      <c r="AF27">
        <f>INDEX(LINEST(Table2x238[CU5],Table2x238[RCR]^{1,2,3}),1,2)</f>
        <v>2.4114219114219146</v>
      </c>
      <c r="AG27">
        <f>INDEX(LINEST(Table2x238[CU6],Table2x238[RCR]^{1,2,3}),1,2)</f>
        <v>1.2109557109557152</v>
      </c>
      <c r="AH27">
        <f>INDEX(LINEST(Table2x238[CU7],Table2x238[RCR]^{1,2,3}),1,2)</f>
        <v>1.6847319347319412</v>
      </c>
      <c r="AI27">
        <f>INDEX(LINEST(Table2x238[CU8],Table2x238[RCR]^{1,2,3}),1,2)</f>
        <v>2.1555944055944094</v>
      </c>
      <c r="AJ27">
        <f>INDEX(LINEST(Table2x238[CU9],Table2x238[RCR]^{1,2,3}),1,2)</f>
        <v>1.0110722610722638</v>
      </c>
      <c r="AK27">
        <f>INDEX(LINEST(Table2x238[CU10],Table2x238[RCR]^{1,2,3}),1,2)</f>
        <v>1.4784382284382334</v>
      </c>
      <c r="AL27">
        <f>INDEX(LINEST(Table2x238[CU11],Table2x238[RCR]^{1,2,3}),1,2)</f>
        <v>1.86713286713287</v>
      </c>
      <c r="AM27">
        <f>INDEX(LINEST(Table2x238[CU12],Table2x238[RCR]^{1,2,3}),1,2)</f>
        <v>1.0821678321678359</v>
      </c>
      <c r="AN27">
        <f>INDEX(LINEST(Table2x238[CU13],Table2x238[RCR]^{1,2,3}),1,2)</f>
        <v>1.3362470862470894</v>
      </c>
      <c r="AO27">
        <f>INDEX(LINEST(Table2x238[CU14],Table2x238[RCR]^{1,2,3}),1,2)</f>
        <v>1.6864801864801862</v>
      </c>
      <c r="AQ27" t="s">
        <v>65</v>
      </c>
      <c r="AR27">
        <f>INDEX(LINEST(Table1x440[CU],Table1x440[RCR]^{1,2,3}),1,2)</f>
        <v>1.2179487179487198</v>
      </c>
      <c r="AS27">
        <f>INDEX(LINEST(Table1x440[CU1],Table1x440[RCR]^{1,2,3}),1,2)</f>
        <v>1.9108391608391677</v>
      </c>
      <c r="AT27">
        <f>INDEX(LINEST(Table1x440[CU2],Table1x440[RCR]^{1,2,3}),1,2)</f>
        <v>2.4096736596736665</v>
      </c>
      <c r="AU27">
        <f>INDEX(LINEST(Table1x440[CU3],Table1x440[RCR]^{1,2,3}),1,2)</f>
        <v>1.1713286713286721</v>
      </c>
      <c r="AV27">
        <f>INDEX(LINEST(Table1x440[CU4],Table1x440[RCR]^{1,2,3}),1,2)</f>
        <v>1.7051282051282128</v>
      </c>
      <c r="AW27">
        <f>INDEX(LINEST(Table1x440[CU5],Table1x440[RCR]^{1,2,3}),1,2)</f>
        <v>2.3065268065268132</v>
      </c>
      <c r="AX27">
        <f>INDEX(LINEST(Table1x440[CU6],Table1x440[RCR]^{1,2,3}),1,2)</f>
        <v>1.0227272727272736</v>
      </c>
      <c r="AY27">
        <f>INDEX(LINEST(Table1x440[CU7],Table1x440[RCR]^{1,2,3}),1,2)</f>
        <v>1.5600233100233101</v>
      </c>
      <c r="AZ27">
        <f>INDEX(LINEST(Table1x440[CU8],Table1x440[RCR]^{1,2,3}),1,2)</f>
        <v>2.026223776223778</v>
      </c>
      <c r="BA27">
        <f>INDEX(LINEST(Table1x440[CU9],Table1x440[RCR]^{1,2,3}),1,2)</f>
        <v>0.97144522144522616</v>
      </c>
      <c r="BB27">
        <f>INDEX(LINEST(Table1x440[CU10],Table1x440[RCR]^{1,2,3}),1,2)</f>
        <v>1.3310023310023333</v>
      </c>
      <c r="BC27">
        <f>INDEX(LINEST(Table1x440[CU11],Table1x440[RCR]^{1,2,3}),1,2)</f>
        <v>1.6148018648018685</v>
      </c>
      <c r="BD27">
        <f>INDEX(LINEST(Table1x440[CU12],Table1x440[RCR]^{1,2,3}),1,2)</f>
        <v>0.99941724941725407</v>
      </c>
      <c r="BE27">
        <f>INDEX(LINEST(Table1x440[CU13],Table1x440[RCR]^{1,2,3}),1,2)</f>
        <v>1.2068764568764607</v>
      </c>
      <c r="BF27">
        <f>INDEX(LINEST(Table1x440[CU14],Table1x440[RCR]^{1,2,3}),1,2)</f>
        <v>1.4988344988345033</v>
      </c>
    </row>
    <row r="28" spans="1:63" x14ac:dyDescent="0.25">
      <c r="C28" s="5"/>
      <c r="F28" s="15"/>
      <c r="H28" s="7"/>
      <c r="I28" t="s">
        <v>66</v>
      </c>
      <c r="J28">
        <f t="array" ref="J28">INDEX(LINEST(Table2x431[CU],Table2x431[RCR]^{1,2,3}),1,3)</f>
        <v>-17.15112665112666</v>
      </c>
      <c r="K28">
        <f>INDEX(LINEST(Table2x431[CU1],Table2x431[RCR]^{1,2,3}),1,3)</f>
        <v>-21.362859362859382</v>
      </c>
      <c r="L28">
        <f>INDEX(LINEST(Table2x431[CU2],Table2x431[RCR]^{1,2,3}),1,3)</f>
        <v>-25.218725718725707</v>
      </c>
      <c r="M28">
        <f>INDEX(LINEST(Table2x431[CU3],Table2x431[RCR]^{1,2,3}),1,3)</f>
        <v>-16.336441336441357</v>
      </c>
      <c r="N28">
        <f>INDEX(LINEST(Table2x431[CU4],Table2x431[RCR]^{1,2,3}),1,3)</f>
        <v>-20.410256410256444</v>
      </c>
      <c r="O28">
        <f>INDEX(LINEST(Table2x431[CU5],Table2x431[RCR]^{1,2,3}),1,3)</f>
        <v>-23.863636363636388</v>
      </c>
      <c r="P28">
        <f>INDEX(LINEST(Table2x431[CU6],Table2x431[RCR]^{1,2,3}),1,3)</f>
        <v>-15.653069153069183</v>
      </c>
      <c r="Q28">
        <f>INDEX(LINEST(Table2x431[CU7],Table2x431[RCR]^{1,2,3}),1,3)</f>
        <v>-18.7777777777778</v>
      </c>
      <c r="R28">
        <f>INDEX(LINEST(Table2x431[CU8],Table2x431[RCR]^{1,2,3}),1,3)</f>
        <v>-22.029914529914546</v>
      </c>
      <c r="S28">
        <f>INDEX(LINEST(Table2x431[CU9],Table2x431[RCR]^{1,2,3}),1,3)</f>
        <v>-14.308469308469318</v>
      </c>
      <c r="T28">
        <f>INDEX(LINEST(Table2x431[CU10],Table2x431[RCR]^{1,2,3}),1,3)</f>
        <v>-17.437451437451458</v>
      </c>
      <c r="U28">
        <f>INDEX(LINEST(Table2x431[CU11],Table2x431[RCR]^{1,2,3}),1,3)</f>
        <v>-20.008158508158527</v>
      </c>
      <c r="V28">
        <f>INDEX(LINEST(Table2x431[CU12],Table2x431[RCR]^{1,2,3}),1,3)</f>
        <v>-13.927350427350442</v>
      </c>
      <c r="W28">
        <f>INDEX(LINEST(Table2x431[CU13],Table2x431[RCR]^{1,2,3}),1,3)</f>
        <v>-16.526029526029543</v>
      </c>
      <c r="X28">
        <f>INDEX(LINEST(Table2x431[CU14],Table2x431[RCR]^{1,2,3}),1,3)</f>
        <v>-18.192696192696193</v>
      </c>
      <c r="Z28" t="s">
        <v>66</v>
      </c>
      <c r="AA28">
        <f>INDEX(LINEST(Table2x238[CU],Table2x238[RCR]^{1,2,3}),1,3)</f>
        <v>-16.870240870240906</v>
      </c>
      <c r="AB28">
        <f>INDEX(LINEST(Table2x238[CU1],Table2x238[RCR]^{1,2,3}),1,3)</f>
        <v>-21.142579642579662</v>
      </c>
      <c r="AC28">
        <f>INDEX(LINEST(Table2x238[CU2],Table2x238[RCR]^{1,2,3}),1,3)</f>
        <v>-24.738539238539236</v>
      </c>
      <c r="AD28">
        <f>INDEX(LINEST(Table2x238[CU3],Table2x238[RCR]^{1,2,3}),1,3)</f>
        <v>-15.95415695415698</v>
      </c>
      <c r="AE28">
        <f>INDEX(LINEST(Table2x238[CU4],Table2x238[RCR]^{1,2,3}),1,3)</f>
        <v>-20.158896658896669</v>
      </c>
      <c r="AF28">
        <f>INDEX(LINEST(Table2x238[CU5],Table2x238[RCR]^{1,2,3}),1,3)</f>
        <v>-23.518259518259519</v>
      </c>
      <c r="AG28">
        <f>INDEX(LINEST(Table2x238[CU6],Table2x238[RCR]^{1,2,3}),1,3)</f>
        <v>-15.387334887334902</v>
      </c>
      <c r="AH28">
        <f>INDEX(LINEST(Table2x238[CU7],Table2x238[RCR]^{1,2,3}),1,3)</f>
        <v>-18.7777777777778</v>
      </c>
      <c r="AI28">
        <f>INDEX(LINEST(Table2x238[CU8],Table2x238[RCR]^{1,2,3}),1,3)</f>
        <v>-21.722610722610728</v>
      </c>
      <c r="AJ28">
        <f>INDEX(LINEST(Table2x238[CU9],Table2x238[RCR]^{1,2,3}),1,3)</f>
        <v>-14.079642579642584</v>
      </c>
      <c r="AK28">
        <f>INDEX(LINEST(Table2x238[CU10],Table2x238[RCR]^{1,2,3}),1,3)</f>
        <v>-17.189199689199704</v>
      </c>
      <c r="AL28">
        <f>INDEX(LINEST(Table2x238[CU11],Table2x238[RCR]^{1,2,3}),1,3)</f>
        <v>-19.600621600621601</v>
      </c>
      <c r="AM28">
        <f>INDEX(LINEST(Table2x238[CU12],Table2x238[RCR]^{1,2,3}),1,3)</f>
        <v>-13.85042735042736</v>
      </c>
      <c r="AN28">
        <f>INDEX(LINEST(Table2x238[CU13],Table2x238[RCR]^{1,2,3}),1,3)</f>
        <v>-15.989898989898995</v>
      </c>
      <c r="AO28">
        <f>INDEX(LINEST(Table2x238[CU14],Table2x238[RCR]^{1,2,3}),1,3)</f>
        <v>-18.232711732711724</v>
      </c>
      <c r="AQ28" t="s">
        <v>66</v>
      </c>
      <c r="AR28">
        <f>INDEX(LINEST(Table1x440[CU],Table1x440[RCR]^{1,2,3}),1,3)</f>
        <v>-16.291763791763788</v>
      </c>
      <c r="AS28">
        <f>INDEX(LINEST(Table1x440[CU1],Table1x440[RCR]^{1,2,3}),1,3)</f>
        <v>-20.692696192696214</v>
      </c>
      <c r="AT28">
        <f>INDEX(LINEST(Table1x440[CU2],Table1x440[RCR]^{1,2,3}),1,3)</f>
        <v>-23.91724941724944</v>
      </c>
      <c r="AU28">
        <f>INDEX(LINEST(Table1x440[CU3],Table1x440[RCR]^{1,2,3}),1,3)</f>
        <v>-15.679487179487174</v>
      </c>
      <c r="AV28">
        <f>INDEX(LINEST(Table1x440[CU4],Table1x440[RCR]^{1,2,3}),1,3)</f>
        <v>-19.399766899766927</v>
      </c>
      <c r="AW28">
        <f>INDEX(LINEST(Table1x440[CU5],Table1x440[RCR]^{1,2,3}),1,3)</f>
        <v>-22.964646464646489</v>
      </c>
      <c r="AX28">
        <f>INDEX(LINEST(Table1x440[CU6],Table1x440[RCR]^{1,2,3}),1,3)</f>
        <v>-14.623154623154621</v>
      </c>
      <c r="AY28">
        <f>INDEX(LINEST(Table1x440[CU7],Table1x440[RCR]^{1,2,3}),1,3)</f>
        <v>-18.099067599067588</v>
      </c>
      <c r="AZ28">
        <f>INDEX(LINEST(Table1x440[CU8],Table1x440[RCR]^{1,2,3}),1,3)</f>
        <v>-21.068764568764564</v>
      </c>
      <c r="BA28">
        <f>INDEX(LINEST(Table1x440[CU9],Table1x440[RCR]^{1,2,3}),1,3)</f>
        <v>-13.75485625485627</v>
      </c>
      <c r="BB28">
        <f>INDEX(LINEST(Table1x440[CU10],Table1x440[RCR]^{1,2,3}),1,3)</f>
        <v>-16.42696192696193</v>
      </c>
      <c r="BC28">
        <f>INDEX(LINEST(Table1x440[CU11],Table1x440[RCR]^{1,2,3}),1,3)</f>
        <v>-18.57381507381508</v>
      </c>
      <c r="BD28">
        <f>INDEX(LINEST(Table1x440[CU12],Table1x440[RCR]^{1,2,3}),1,3)</f>
        <v>-13.373737373737391</v>
      </c>
      <c r="BE28">
        <f>INDEX(LINEST(Table1x440[CU13],Table1x440[RCR]^{1,2,3}),1,3)</f>
        <v>-15.336052836052847</v>
      </c>
      <c r="BF28">
        <f>INDEX(LINEST(Table1x440[CU14],Table1x440[RCR]^{1,2,3}),1,3)</f>
        <v>-17.348484848484862</v>
      </c>
    </row>
    <row r="29" spans="1:63" x14ac:dyDescent="0.25">
      <c r="C29" s="5"/>
      <c r="F29" s="15"/>
      <c r="H29" s="7"/>
      <c r="I29" t="s">
        <v>67</v>
      </c>
      <c r="J29">
        <f>INDEX(LINEST(Table2x431[CU],Table2x431[RCR]^{1,2,3}),1,4)</f>
        <v>118.96503496503496</v>
      </c>
      <c r="K29">
        <f>INDEX(LINEST(Table2x431[CU1],Table2x431[RCR]^{1,2,3}),1,4)</f>
        <v>118.69930069930069</v>
      </c>
      <c r="L29">
        <f>INDEX(LINEST(Table2x431[CU2],Table2x431[RCR]^{1,2,3}),1,4)</f>
        <v>118.28671328671325</v>
      </c>
      <c r="M29">
        <f>INDEX(LINEST(Table2x431[CU3],Table2x431[RCR]^{1,2,3}),1,4)</f>
        <v>115.99300699300701</v>
      </c>
      <c r="N29">
        <f>INDEX(LINEST(Table2x431[CU4],Table2x431[RCR]^{1,2,3}),1,4)</f>
        <v>115.80419580419581</v>
      </c>
      <c r="O29">
        <f>INDEX(LINEST(Table2x431[CU5],Table2x431[RCR]^{1,2,3}),1,4)</f>
        <v>115.60839160839163</v>
      </c>
      <c r="P29">
        <f>INDEX(LINEST(Table2x431[CU6],Table2x431[RCR]^{1,2,3}),1,4)</f>
        <v>111.21678321678321</v>
      </c>
      <c r="Q29">
        <f>INDEX(LINEST(Table2x431[CU7],Table2x431[RCR]^{1,2,3}),1,4)</f>
        <v>110.91608391608392</v>
      </c>
      <c r="R29">
        <f>INDEX(LINEST(Table2x431[CU8],Table2x431[RCR]^{1,2,3}),1,4)</f>
        <v>110.89510489510491</v>
      </c>
      <c r="S29">
        <f>INDEX(LINEST(Table2x431[CU9],Table2x431[RCR]^{1,2,3}),1,4)</f>
        <v>106.02097902097901</v>
      </c>
      <c r="T29">
        <f>INDEX(LINEST(Table2x431[CU10],Table2x431[RCR]^{1,2,3}),1,4)</f>
        <v>105.98601398601399</v>
      </c>
      <c r="U29">
        <f>INDEX(LINEST(Table2x431[CU11],Table2x431[RCR]^{1,2,3}),1,4)</f>
        <v>106</v>
      </c>
      <c r="V29">
        <f>INDEX(LINEST(Table2x431[CU12],Table2x431[RCR]^{1,2,3}),1,4)</f>
        <v>101.91608391608392</v>
      </c>
      <c r="W29">
        <f>INDEX(LINEST(Table2x431[CU13],Table2x431[RCR]^{1,2,3}),1,4)</f>
        <v>101.94405594405595</v>
      </c>
      <c r="X29">
        <f>INDEX(LINEST(Table2x431[CU14],Table2x431[RCR]^{1,2,3}),1,4)</f>
        <v>101.72727272727271</v>
      </c>
      <c r="Z29" t="s">
        <v>67</v>
      </c>
      <c r="AA29">
        <f>INDEX(LINEST(Table2x238[CU],Table2x238[RCR]^{1,2,3}),1,4)</f>
        <v>119.13286713286716</v>
      </c>
      <c r="AB29">
        <f>INDEX(LINEST(Table2x238[CU1],Table2x238[RCR]^{1,2,3}),1,4)</f>
        <v>118.58741258741259</v>
      </c>
      <c r="AC29">
        <f>INDEX(LINEST(Table2x238[CU2],Table2x238[RCR]^{1,2,3}),1,4)</f>
        <v>118.2237762237762</v>
      </c>
      <c r="AD29">
        <f>INDEX(LINEST(Table2x238[CU3],Table2x238[RCR]^{1,2,3}),1,4)</f>
        <v>115.81118881118881</v>
      </c>
      <c r="AE29">
        <f>INDEX(LINEST(Table2x238[CU4],Table2x238[RCR]^{1,2,3}),1,4)</f>
        <v>115.68531468531467</v>
      </c>
      <c r="AF29">
        <f>INDEX(LINEST(Table2x238[CU5],Table2x238[RCR]^{1,2,3}),1,4)</f>
        <v>115.58041958041954</v>
      </c>
      <c r="AG29">
        <f>INDEX(LINEST(Table2x238[CU6],Table2x238[RCR]^{1,2,3}),1,4)</f>
        <v>111.11888111888115</v>
      </c>
      <c r="AH29">
        <f>INDEX(LINEST(Table2x238[CU7],Table2x238[RCR]^{1,2,3}),1,4)</f>
        <v>110.91608391608392</v>
      </c>
      <c r="AI29">
        <f>INDEX(LINEST(Table2x238[CU8],Table2x238[RCR]^{1,2,3}),1,4)</f>
        <v>110.81118881118879</v>
      </c>
      <c r="AJ29">
        <f>INDEX(LINEST(Table2x238[CU9],Table2x238[RCR]^{1,2,3}),1,4)</f>
        <v>106.07692307692307</v>
      </c>
      <c r="AK29">
        <f>INDEX(LINEST(Table2x238[CU10],Table2x238[RCR]^{1,2,3}),1,4)</f>
        <v>106.17482517482517</v>
      </c>
      <c r="AL29">
        <f>INDEX(LINEST(Table2x238[CU11],Table2x238[RCR]^{1,2,3}),1,4)</f>
        <v>105.82517482517478</v>
      </c>
      <c r="AM29">
        <f>INDEX(LINEST(Table2x238[CU12],Table2x238[RCR]^{1,2,3}),1,4)</f>
        <v>102.16783216783217</v>
      </c>
      <c r="AN29">
        <f>INDEX(LINEST(Table2x238[CU13],Table2x238[RCR]^{1,2,3}),1,4)</f>
        <v>101.91608391608392</v>
      </c>
      <c r="AO29">
        <f>INDEX(LINEST(Table2x238[CU14],Table2x238[RCR]^{1,2,3}),1,4)</f>
        <v>101.77622377622373</v>
      </c>
      <c r="AQ29" t="s">
        <v>67</v>
      </c>
      <c r="AR29">
        <f>INDEX(LINEST(Table1x440[CU],Table1x440[RCR]^{1,2,3}),1,4)</f>
        <v>119.02797202797203</v>
      </c>
      <c r="AS29">
        <f>INDEX(LINEST(Table1x440[CU1],Table1x440[RCR]^{1,2,3}),1,4)</f>
        <v>118.82517482517484</v>
      </c>
      <c r="AT29">
        <f>INDEX(LINEST(Table1x440[CU2],Table1x440[RCR]^{1,2,3}),1,4)</f>
        <v>118.68531468531467</v>
      </c>
      <c r="AU29">
        <f>INDEX(LINEST(Table1x440[CU3],Table1x440[RCR]^{1,2,3}),1,4)</f>
        <v>116.20279720279719</v>
      </c>
      <c r="AV29">
        <f>INDEX(LINEST(Table1x440[CU4],Table1x440[RCR]^{1,2,3}),1,4)</f>
        <v>115.80419580419581</v>
      </c>
      <c r="AW29">
        <f>INDEX(LINEST(Table1x440[CU5],Table1x440[RCR]^{1,2,3}),1,4)</f>
        <v>115.79020979020979</v>
      </c>
      <c r="AX29">
        <f>INDEX(LINEST(Table1x440[CU6],Table1x440[RCR]^{1,2,3}),1,4)</f>
        <v>111.27972027972025</v>
      </c>
      <c r="AY29">
        <f>INDEX(LINEST(Table1x440[CU7],Table1x440[RCR]^{1,2,3}),1,4)</f>
        <v>111.20979020979019</v>
      </c>
      <c r="AZ29">
        <f>INDEX(LINEST(Table1x440[CU8],Table1x440[RCR]^{1,2,3}),1,4)</f>
        <v>110.96503496503493</v>
      </c>
      <c r="BA29">
        <f>INDEX(LINEST(Table1x440[CU9],Table1x440[RCR]^{1,2,3}),1,4)</f>
        <v>106.23076923076923</v>
      </c>
      <c r="BB29">
        <f>INDEX(LINEST(Table1x440[CU10],Table1x440[RCR]^{1,2,3}),1,4)</f>
        <v>105.98601398601397</v>
      </c>
      <c r="BC29">
        <f>INDEX(LINEST(Table1x440[CU11],Table1x440[RCR]^{1,2,3}),1,4)</f>
        <v>105.83216783216783</v>
      </c>
      <c r="BD29">
        <f>INDEX(LINEST(Table1x440[CU12],Table1x440[RCR]^{1,2,3}),1,4)</f>
        <v>102.12587412587412</v>
      </c>
      <c r="BE29">
        <f>INDEX(LINEST(Table1x440[CU13],Table1x440[RCR]^{1,2,3}),1,4)</f>
        <v>102.06993006993007</v>
      </c>
      <c r="BF29">
        <f>INDEX(LINEST(Table1x440[CU14],Table1x440[RCR]^{1,2,3}),1,4)</f>
        <v>101.97902097902099</v>
      </c>
    </row>
    <row r="30" spans="1:63" x14ac:dyDescent="0.25">
      <c r="A30" s="26" t="s">
        <v>47</v>
      </c>
      <c r="B30" s="27"/>
      <c r="C30" s="28"/>
      <c r="D30" s="27"/>
      <c r="F30" s="15"/>
      <c r="G30" s="15"/>
      <c r="H30" s="7"/>
      <c r="I30" t="s">
        <v>68</v>
      </c>
      <c r="J30" t="e">
        <f t="shared" ref="J30:X30" si="3">$C$16</f>
        <v>#DIV/0!</v>
      </c>
      <c r="K30" t="e">
        <f t="shared" si="3"/>
        <v>#DIV/0!</v>
      </c>
      <c r="L30" t="e">
        <f t="shared" si="3"/>
        <v>#DIV/0!</v>
      </c>
      <c r="M30" t="e">
        <f t="shared" si="3"/>
        <v>#DIV/0!</v>
      </c>
      <c r="N30" t="e">
        <f t="shared" si="3"/>
        <v>#DIV/0!</v>
      </c>
      <c r="O30" t="e">
        <f t="shared" si="3"/>
        <v>#DIV/0!</v>
      </c>
      <c r="P30" t="e">
        <f t="shared" si="3"/>
        <v>#DIV/0!</v>
      </c>
      <c r="Q30" t="e">
        <f t="shared" si="3"/>
        <v>#DIV/0!</v>
      </c>
      <c r="R30" t="e">
        <f t="shared" si="3"/>
        <v>#DIV/0!</v>
      </c>
      <c r="S30" t="e">
        <f t="shared" si="3"/>
        <v>#DIV/0!</v>
      </c>
      <c r="T30" t="e">
        <f t="shared" si="3"/>
        <v>#DIV/0!</v>
      </c>
      <c r="U30" t="e">
        <f t="shared" si="3"/>
        <v>#DIV/0!</v>
      </c>
      <c r="V30" t="e">
        <f t="shared" si="3"/>
        <v>#DIV/0!</v>
      </c>
      <c r="W30" t="e">
        <f t="shared" si="3"/>
        <v>#DIV/0!</v>
      </c>
      <c r="X30" t="e">
        <f t="shared" si="3"/>
        <v>#DIV/0!</v>
      </c>
      <c r="Z30" t="s">
        <v>68</v>
      </c>
      <c r="AA30" t="e">
        <f t="shared" ref="AA30:AO30" si="4">$C$16</f>
        <v>#DIV/0!</v>
      </c>
      <c r="AB30" t="e">
        <f t="shared" si="4"/>
        <v>#DIV/0!</v>
      </c>
      <c r="AC30" t="e">
        <f t="shared" si="4"/>
        <v>#DIV/0!</v>
      </c>
      <c r="AD30" t="e">
        <f t="shared" si="4"/>
        <v>#DIV/0!</v>
      </c>
      <c r="AE30" t="e">
        <f t="shared" si="4"/>
        <v>#DIV/0!</v>
      </c>
      <c r="AF30" t="e">
        <f t="shared" si="4"/>
        <v>#DIV/0!</v>
      </c>
      <c r="AG30" t="e">
        <f t="shared" si="4"/>
        <v>#DIV/0!</v>
      </c>
      <c r="AH30" t="e">
        <f t="shared" si="4"/>
        <v>#DIV/0!</v>
      </c>
      <c r="AI30" t="e">
        <f t="shared" si="4"/>
        <v>#DIV/0!</v>
      </c>
      <c r="AJ30" t="e">
        <f t="shared" si="4"/>
        <v>#DIV/0!</v>
      </c>
      <c r="AK30" t="e">
        <f t="shared" si="4"/>
        <v>#DIV/0!</v>
      </c>
      <c r="AL30" t="e">
        <f t="shared" si="4"/>
        <v>#DIV/0!</v>
      </c>
      <c r="AM30" t="e">
        <f t="shared" si="4"/>
        <v>#DIV/0!</v>
      </c>
      <c r="AN30" t="e">
        <f t="shared" si="4"/>
        <v>#DIV/0!</v>
      </c>
      <c r="AO30" t="e">
        <f t="shared" si="4"/>
        <v>#DIV/0!</v>
      </c>
      <c r="AQ30" t="s">
        <v>68</v>
      </c>
      <c r="AR30" t="e">
        <f t="shared" ref="AR30:BF30" si="5">$C$16</f>
        <v>#DIV/0!</v>
      </c>
      <c r="AS30" t="e">
        <f t="shared" si="5"/>
        <v>#DIV/0!</v>
      </c>
      <c r="AT30" t="e">
        <f t="shared" si="5"/>
        <v>#DIV/0!</v>
      </c>
      <c r="AU30" t="e">
        <f t="shared" si="5"/>
        <v>#DIV/0!</v>
      </c>
      <c r="AV30" t="e">
        <f t="shared" si="5"/>
        <v>#DIV/0!</v>
      </c>
      <c r="AW30" t="e">
        <f t="shared" si="5"/>
        <v>#DIV/0!</v>
      </c>
      <c r="AX30" t="e">
        <f t="shared" si="5"/>
        <v>#DIV/0!</v>
      </c>
      <c r="AY30" t="e">
        <f t="shared" si="5"/>
        <v>#DIV/0!</v>
      </c>
      <c r="AZ30" t="e">
        <f t="shared" si="5"/>
        <v>#DIV/0!</v>
      </c>
      <c r="BA30" t="e">
        <f t="shared" si="5"/>
        <v>#DIV/0!</v>
      </c>
      <c r="BB30" t="e">
        <f t="shared" si="5"/>
        <v>#DIV/0!</v>
      </c>
      <c r="BC30" t="e">
        <f t="shared" si="5"/>
        <v>#DIV/0!</v>
      </c>
      <c r="BD30" t="e">
        <f t="shared" si="5"/>
        <v>#DIV/0!</v>
      </c>
      <c r="BE30" t="e">
        <f t="shared" si="5"/>
        <v>#DIV/0!</v>
      </c>
      <c r="BF30" t="e">
        <f t="shared" si="5"/>
        <v>#DIV/0!</v>
      </c>
      <c r="BG30" s="27"/>
      <c r="BH30" s="27"/>
      <c r="BI30" s="27"/>
      <c r="BJ30" s="27"/>
      <c r="BK30" s="27"/>
    </row>
    <row r="31" spans="1:63" x14ac:dyDescent="0.25">
      <c r="B31" t="s">
        <v>10</v>
      </c>
      <c r="C31" s="21"/>
      <c r="F31" s="15"/>
      <c r="G31" s="15"/>
      <c r="H31" s="7"/>
    </row>
    <row r="32" spans="1:63" x14ac:dyDescent="0.25">
      <c r="B32" t="s">
        <v>38</v>
      </c>
      <c r="C32" s="1" t="e">
        <f>C22*C24/100*C31*C27/C13</f>
        <v>#N/A</v>
      </c>
      <c r="D32" t="s">
        <v>1</v>
      </c>
      <c r="F32" s="15"/>
      <c r="G32" s="15"/>
      <c r="I32" t="s">
        <v>11</v>
      </c>
      <c r="J32" t="s">
        <v>12</v>
      </c>
      <c r="K32" t="s">
        <v>62</v>
      </c>
      <c r="L32" t="s">
        <v>13</v>
      </c>
    </row>
    <row r="33" spans="1:63" x14ac:dyDescent="0.25">
      <c r="B33" t="s">
        <v>51</v>
      </c>
      <c r="C33" s="6" t="e">
        <f>C31*C23</f>
        <v>#N/A</v>
      </c>
      <c r="D33" t="s">
        <v>53</v>
      </c>
      <c r="F33" s="15"/>
      <c r="G33" s="15"/>
      <c r="H33" t="s">
        <v>13</v>
      </c>
      <c r="I33">
        <v>80</v>
      </c>
      <c r="J33">
        <v>50</v>
      </c>
      <c r="K33">
        <v>24</v>
      </c>
      <c r="L33" t="e">
        <f>J25</f>
        <v>#DIV/0!</v>
      </c>
    </row>
    <row r="34" spans="1:63" ht="17.25" x14ac:dyDescent="0.25">
      <c r="B34" t="s">
        <v>35</v>
      </c>
      <c r="C34" s="17" t="e">
        <f>C23*C31/C13</f>
        <v>#N/A</v>
      </c>
      <c r="D34" t="s">
        <v>36</v>
      </c>
      <c r="F34" s="15"/>
      <c r="G34" s="15"/>
      <c r="H34" t="s">
        <v>16</v>
      </c>
      <c r="I34">
        <v>80</v>
      </c>
      <c r="J34">
        <v>30</v>
      </c>
      <c r="K34">
        <v>24</v>
      </c>
      <c r="L34" t="e">
        <f>K25</f>
        <v>#DIV/0!</v>
      </c>
    </row>
    <row r="35" spans="1:63" x14ac:dyDescent="0.25">
      <c r="C35" s="1"/>
      <c r="F35" s="15"/>
      <c r="G35" s="15"/>
      <c r="H35" t="s">
        <v>17</v>
      </c>
      <c r="I35">
        <v>80</v>
      </c>
      <c r="J35">
        <v>10</v>
      </c>
      <c r="K35">
        <v>24</v>
      </c>
      <c r="L35" t="e">
        <f>L25</f>
        <v>#DIV/0!</v>
      </c>
    </row>
    <row r="36" spans="1:63" x14ac:dyDescent="0.25">
      <c r="C36" s="1"/>
      <c r="F36" s="15"/>
      <c r="G36" s="15"/>
      <c r="H36" t="s">
        <v>18</v>
      </c>
      <c r="I36">
        <v>70</v>
      </c>
      <c r="J36">
        <v>50</v>
      </c>
      <c r="K36">
        <v>24</v>
      </c>
      <c r="L36" t="e">
        <f>M25</f>
        <v>#DIV/0!</v>
      </c>
    </row>
    <row r="37" spans="1:63" x14ac:dyDescent="0.25">
      <c r="A37" s="26" t="s">
        <v>48</v>
      </c>
      <c r="B37" s="27"/>
      <c r="C37" s="29"/>
      <c r="D37" s="27"/>
      <c r="F37" s="15"/>
      <c r="G37" s="15"/>
      <c r="H37" t="s">
        <v>19</v>
      </c>
      <c r="I37">
        <v>70</v>
      </c>
      <c r="J37">
        <v>30</v>
      </c>
      <c r="K37">
        <v>24</v>
      </c>
      <c r="L37" t="e">
        <f>N25</f>
        <v>#DIV/0!</v>
      </c>
      <c r="BG37" s="27"/>
      <c r="BH37" s="27"/>
      <c r="BI37" s="27"/>
      <c r="BJ37" s="27"/>
      <c r="BK37" s="27"/>
    </row>
    <row r="38" spans="1:63" x14ac:dyDescent="0.25">
      <c r="A38" s="2"/>
      <c r="B38" t="s">
        <v>40</v>
      </c>
      <c r="C38" s="21"/>
      <c r="D38" t="s">
        <v>1</v>
      </c>
      <c r="E38" s="14" t="e">
        <f>ROUNDUP(C38*C13/C22/C27/C24*100,0)</f>
        <v>#N/A</v>
      </c>
      <c r="F38" s="15"/>
      <c r="G38" s="15"/>
      <c r="H38" t="s">
        <v>20</v>
      </c>
      <c r="I38">
        <v>70</v>
      </c>
      <c r="J38">
        <v>10</v>
      </c>
      <c r="K38">
        <v>24</v>
      </c>
      <c r="L38" t="e">
        <f>O25</f>
        <v>#DIV/0!</v>
      </c>
    </row>
    <row r="39" spans="1:63" x14ac:dyDescent="0.25">
      <c r="B39" t="s">
        <v>43</v>
      </c>
      <c r="C39" t="e">
        <f>IF(E38&gt;E41,E39+1,E39)</f>
        <v>#N/A</v>
      </c>
      <c r="E39" s="14" t="e">
        <f>ROUND(E38/C40,0)</f>
        <v>#N/A</v>
      </c>
      <c r="F39" s="15"/>
      <c r="G39" s="15"/>
      <c r="H39" t="s">
        <v>21</v>
      </c>
      <c r="I39">
        <v>50</v>
      </c>
      <c r="J39">
        <v>50</v>
      </c>
      <c r="K39">
        <v>24</v>
      </c>
      <c r="L39" t="e">
        <f>P25</f>
        <v>#DIV/0!</v>
      </c>
    </row>
    <row r="40" spans="1:63" x14ac:dyDescent="0.25">
      <c r="B40" t="s">
        <v>44</v>
      </c>
      <c r="C40" t="e">
        <f>ROUND(SQRT(E38*C12/C11),0)</f>
        <v>#N/A</v>
      </c>
      <c r="E40" s="14" t="e">
        <f>C40</f>
        <v>#N/A</v>
      </c>
      <c r="F40" s="15"/>
      <c r="G40" s="15"/>
      <c r="H40" t="s">
        <v>22</v>
      </c>
      <c r="I40">
        <v>50</v>
      </c>
      <c r="J40">
        <v>30</v>
      </c>
      <c r="K40">
        <v>24</v>
      </c>
      <c r="L40" t="e">
        <f>Q25</f>
        <v>#DIV/0!</v>
      </c>
    </row>
    <row r="41" spans="1:63" x14ac:dyDescent="0.25">
      <c r="B41" t="s">
        <v>45</v>
      </c>
      <c r="C41" t="e">
        <f>C40*C39</f>
        <v>#N/A</v>
      </c>
      <c r="E41" s="14" t="e">
        <f>E40*E39</f>
        <v>#N/A</v>
      </c>
      <c r="F41" s="15"/>
      <c r="G41" s="15"/>
      <c r="H41" t="s">
        <v>23</v>
      </c>
      <c r="I41">
        <v>50</v>
      </c>
      <c r="J41">
        <v>10</v>
      </c>
      <c r="K41">
        <v>24</v>
      </c>
      <c r="L41" t="e">
        <f>R25</f>
        <v>#DIV/0!</v>
      </c>
    </row>
    <row r="42" spans="1:63" x14ac:dyDescent="0.25">
      <c r="B42" t="s">
        <v>38</v>
      </c>
      <c r="C42" s="1" t="e">
        <f>C22*C24/100*C41*C27/C13</f>
        <v>#N/A</v>
      </c>
      <c r="D42" t="s">
        <v>1</v>
      </c>
      <c r="F42" s="15"/>
      <c r="G42" s="15"/>
      <c r="H42" t="s">
        <v>24</v>
      </c>
      <c r="I42">
        <v>30</v>
      </c>
      <c r="J42">
        <v>50</v>
      </c>
      <c r="K42">
        <v>24</v>
      </c>
      <c r="L42" t="e">
        <f>S25</f>
        <v>#DIV/0!</v>
      </c>
    </row>
    <row r="43" spans="1:63" x14ac:dyDescent="0.25">
      <c r="B43" t="s">
        <v>58</v>
      </c>
      <c r="C43" s="23">
        <v>0</v>
      </c>
      <c r="D43" t="s">
        <v>60</v>
      </c>
      <c r="F43" s="15"/>
      <c r="G43" s="15"/>
      <c r="H43" t="s">
        <v>26</v>
      </c>
      <c r="I43">
        <v>30</v>
      </c>
      <c r="J43">
        <v>30</v>
      </c>
      <c r="K43">
        <v>24</v>
      </c>
      <c r="L43" t="e">
        <f>T25</f>
        <v>#DIV/0!</v>
      </c>
    </row>
    <row r="44" spans="1:63" x14ac:dyDescent="0.25">
      <c r="B44" t="s">
        <v>49</v>
      </c>
      <c r="C44" s="1" t="e">
        <f>IF(C39=1,0,C11/C39)</f>
        <v>#N/A</v>
      </c>
      <c r="D44" t="s">
        <v>8</v>
      </c>
      <c r="E44" s="14">
        <f>IF(C43=90,C25,C26)</f>
        <v>1.3</v>
      </c>
      <c r="F44" s="14">
        <f>E44*(C14-C15)</f>
        <v>-3.25</v>
      </c>
      <c r="G44" s="15"/>
      <c r="H44" t="s">
        <v>25</v>
      </c>
      <c r="I44">
        <v>30</v>
      </c>
      <c r="J44">
        <v>10</v>
      </c>
      <c r="K44">
        <v>24</v>
      </c>
      <c r="L44" t="e">
        <f>U25</f>
        <v>#DIV/0!</v>
      </c>
    </row>
    <row r="45" spans="1:63" x14ac:dyDescent="0.25">
      <c r="B45" t="s">
        <v>50</v>
      </c>
      <c r="C45" s="1" t="e">
        <f>IF(C40=1,0,C12/C40)</f>
        <v>#N/A</v>
      </c>
      <c r="D45" t="s">
        <v>8</v>
      </c>
      <c r="E45" s="14">
        <f>IF(C43=90,C26,C25)</f>
        <v>1.26</v>
      </c>
      <c r="F45" s="14">
        <f>E45*(C14-C15)</f>
        <v>-3.15</v>
      </c>
      <c r="H45" t="s">
        <v>27</v>
      </c>
      <c r="I45">
        <v>10</v>
      </c>
      <c r="J45">
        <v>50</v>
      </c>
      <c r="K45">
        <v>24</v>
      </c>
      <c r="L45" t="e">
        <f>V25</f>
        <v>#DIV/0!</v>
      </c>
    </row>
    <row r="46" spans="1:63" x14ac:dyDescent="0.25">
      <c r="B46" s="15" t="s">
        <v>161</v>
      </c>
      <c r="C46" s="25" t="e">
        <f>IF(C39=1,#REF!/2,C44/2)</f>
        <v>#N/A</v>
      </c>
      <c r="D46" t="s">
        <v>8</v>
      </c>
      <c r="H46" t="s">
        <v>28</v>
      </c>
      <c r="I46">
        <v>10</v>
      </c>
      <c r="J46">
        <v>30</v>
      </c>
      <c r="K46">
        <v>24</v>
      </c>
      <c r="L46" t="e">
        <f>W25</f>
        <v>#DIV/0!</v>
      </c>
    </row>
    <row r="47" spans="1:63" x14ac:dyDescent="0.25">
      <c r="B47" s="4" t="s">
        <v>162</v>
      </c>
      <c r="C47" s="25" t="e">
        <f>IF(C40=1,#REF!/2,C45/2)</f>
        <v>#N/A</v>
      </c>
      <c r="D47" t="s">
        <v>8</v>
      </c>
      <c r="H47" t="s">
        <v>29</v>
      </c>
      <c r="I47">
        <v>10</v>
      </c>
      <c r="J47">
        <v>10</v>
      </c>
      <c r="K47">
        <v>24</v>
      </c>
      <c r="L47" t="e">
        <f>X25</f>
        <v>#DIV/0!</v>
      </c>
    </row>
    <row r="48" spans="1:63" x14ac:dyDescent="0.25">
      <c r="B48" t="s">
        <v>51</v>
      </c>
      <c r="C48" s="6" t="e">
        <f>C41*C23</f>
        <v>#N/A</v>
      </c>
      <c r="D48" t="s">
        <v>53</v>
      </c>
      <c r="H48" t="s">
        <v>13</v>
      </c>
      <c r="I48">
        <v>80</v>
      </c>
      <c r="J48">
        <v>50</v>
      </c>
      <c r="K48">
        <v>22</v>
      </c>
      <c r="L48" t="e">
        <f>AA25</f>
        <v>#DIV/0!</v>
      </c>
    </row>
    <row r="49" spans="1:12" ht="15" customHeight="1" x14ac:dyDescent="0.25">
      <c r="B49" t="s">
        <v>35</v>
      </c>
      <c r="C49" s="17" t="e">
        <f>C48/(C11*C12)</f>
        <v>#N/A</v>
      </c>
      <c r="D49" t="s">
        <v>36</v>
      </c>
      <c r="H49" t="s">
        <v>16</v>
      </c>
      <c r="I49">
        <v>80</v>
      </c>
      <c r="J49">
        <v>30</v>
      </c>
      <c r="K49">
        <v>22</v>
      </c>
      <c r="L49" t="e">
        <f>AB25</f>
        <v>#DIV/0!</v>
      </c>
    </row>
    <row r="50" spans="1:12" ht="14.25" customHeight="1" x14ac:dyDescent="0.25">
      <c r="C50" s="15"/>
      <c r="H50" t="s">
        <v>17</v>
      </c>
      <c r="I50">
        <v>80</v>
      </c>
      <c r="J50">
        <v>10</v>
      </c>
      <c r="K50">
        <v>22</v>
      </c>
      <c r="L50" t="e">
        <f>AC25</f>
        <v>#DIV/0!</v>
      </c>
    </row>
    <row r="51" spans="1:12" x14ac:dyDescent="0.25">
      <c r="H51" t="s">
        <v>18</v>
      </c>
      <c r="I51">
        <v>70</v>
      </c>
      <c r="J51">
        <v>50</v>
      </c>
      <c r="K51">
        <v>22</v>
      </c>
      <c r="L51" t="e">
        <f>AD25</f>
        <v>#DIV/0!</v>
      </c>
    </row>
    <row r="52" spans="1:12" x14ac:dyDescent="0.25">
      <c r="A52" s="30" t="s">
        <v>61</v>
      </c>
      <c r="B52" s="30"/>
      <c r="C52" s="30"/>
      <c r="D52" s="30"/>
      <c r="H52" t="s">
        <v>19</v>
      </c>
      <c r="I52">
        <v>70</v>
      </c>
      <c r="J52">
        <v>30</v>
      </c>
      <c r="K52">
        <v>22</v>
      </c>
      <c r="L52" t="e">
        <f>AE25</f>
        <v>#DIV/0!</v>
      </c>
    </row>
    <row r="53" spans="1:12" x14ac:dyDescent="0.25">
      <c r="A53" s="30"/>
      <c r="B53" s="30"/>
      <c r="C53" s="30"/>
      <c r="D53" s="30"/>
      <c r="H53" t="s">
        <v>20</v>
      </c>
      <c r="I53">
        <v>70</v>
      </c>
      <c r="J53">
        <v>10</v>
      </c>
      <c r="K53">
        <v>22</v>
      </c>
      <c r="L53" t="e">
        <f>AF25</f>
        <v>#DIV/0!</v>
      </c>
    </row>
    <row r="54" spans="1:12" x14ac:dyDescent="0.25">
      <c r="A54" s="30"/>
      <c r="B54" s="30"/>
      <c r="C54" s="30"/>
      <c r="D54" s="30"/>
      <c r="H54" t="s">
        <v>21</v>
      </c>
      <c r="I54">
        <v>50</v>
      </c>
      <c r="J54">
        <v>50</v>
      </c>
      <c r="K54">
        <v>22</v>
      </c>
      <c r="L54" t="e">
        <f>AG25</f>
        <v>#DIV/0!</v>
      </c>
    </row>
    <row r="55" spans="1:12" x14ac:dyDescent="0.25">
      <c r="A55" s="30"/>
      <c r="B55" s="30"/>
      <c r="C55" s="30"/>
      <c r="D55" s="30"/>
      <c r="H55" t="s">
        <v>22</v>
      </c>
      <c r="I55">
        <v>50</v>
      </c>
      <c r="J55">
        <v>30</v>
      </c>
      <c r="K55">
        <v>22</v>
      </c>
      <c r="L55" t="e">
        <f>AH25</f>
        <v>#DIV/0!</v>
      </c>
    </row>
    <row r="56" spans="1:12" x14ac:dyDescent="0.25">
      <c r="A56" s="24"/>
      <c r="B56" s="24"/>
      <c r="C56" s="24"/>
      <c r="D56" s="24"/>
      <c r="H56" t="s">
        <v>23</v>
      </c>
      <c r="I56">
        <v>50</v>
      </c>
      <c r="J56">
        <v>10</v>
      </c>
      <c r="K56">
        <v>22</v>
      </c>
      <c r="L56" t="e">
        <f>AI25</f>
        <v>#DIV/0!</v>
      </c>
    </row>
    <row r="57" spans="1:12" x14ac:dyDescent="0.25">
      <c r="A57" s="24"/>
      <c r="B57" s="24"/>
      <c r="C57" s="24"/>
      <c r="D57" s="24"/>
      <c r="H57" t="s">
        <v>24</v>
      </c>
      <c r="I57">
        <v>30</v>
      </c>
      <c r="J57">
        <v>50</v>
      </c>
      <c r="K57">
        <v>22</v>
      </c>
      <c r="L57" t="e">
        <f>AJ25</f>
        <v>#DIV/0!</v>
      </c>
    </row>
    <row r="58" spans="1:12" x14ac:dyDescent="0.25">
      <c r="H58" t="s">
        <v>26</v>
      </c>
      <c r="I58">
        <v>30</v>
      </c>
      <c r="J58">
        <v>30</v>
      </c>
      <c r="K58">
        <v>22</v>
      </c>
      <c r="L58" t="e">
        <f>AK25</f>
        <v>#DIV/0!</v>
      </c>
    </row>
    <row r="59" spans="1:12" x14ac:dyDescent="0.25">
      <c r="H59" t="s">
        <v>25</v>
      </c>
      <c r="I59">
        <v>30</v>
      </c>
      <c r="J59">
        <v>10</v>
      </c>
      <c r="K59">
        <v>22</v>
      </c>
      <c r="L59" t="e">
        <f>AL25</f>
        <v>#DIV/0!</v>
      </c>
    </row>
    <row r="60" spans="1:12" x14ac:dyDescent="0.25">
      <c r="H60" t="s">
        <v>27</v>
      </c>
      <c r="I60">
        <v>10</v>
      </c>
      <c r="J60">
        <v>50</v>
      </c>
      <c r="K60">
        <v>22</v>
      </c>
      <c r="L60" t="e">
        <f>AM25</f>
        <v>#DIV/0!</v>
      </c>
    </row>
    <row r="61" spans="1:12" x14ac:dyDescent="0.25">
      <c r="H61" t="s">
        <v>28</v>
      </c>
      <c r="I61">
        <v>10</v>
      </c>
      <c r="J61">
        <v>30</v>
      </c>
      <c r="K61">
        <v>22</v>
      </c>
      <c r="L61" t="e">
        <f>AN25</f>
        <v>#DIV/0!</v>
      </c>
    </row>
    <row r="62" spans="1:12" x14ac:dyDescent="0.25">
      <c r="H62" t="s">
        <v>29</v>
      </c>
      <c r="I62">
        <v>10</v>
      </c>
      <c r="J62">
        <v>10</v>
      </c>
      <c r="K62">
        <v>22</v>
      </c>
      <c r="L62" t="e">
        <f>AO25</f>
        <v>#DIV/0!</v>
      </c>
    </row>
    <row r="63" spans="1:12" x14ac:dyDescent="0.25">
      <c r="H63" t="s">
        <v>13</v>
      </c>
      <c r="I63">
        <v>80</v>
      </c>
      <c r="J63">
        <v>50</v>
      </c>
      <c r="K63">
        <v>14</v>
      </c>
      <c r="L63" t="e">
        <f>AR25</f>
        <v>#DIV/0!</v>
      </c>
    </row>
    <row r="64" spans="1:12" x14ac:dyDescent="0.25">
      <c r="H64" t="s">
        <v>16</v>
      </c>
      <c r="I64">
        <v>80</v>
      </c>
      <c r="J64">
        <v>30</v>
      </c>
      <c r="K64">
        <v>14</v>
      </c>
      <c r="L64" t="e">
        <f>AS25</f>
        <v>#DIV/0!</v>
      </c>
    </row>
    <row r="65" spans="8:12" x14ac:dyDescent="0.25">
      <c r="H65" t="s">
        <v>17</v>
      </c>
      <c r="I65">
        <v>80</v>
      </c>
      <c r="J65">
        <v>10</v>
      </c>
      <c r="K65">
        <v>14</v>
      </c>
      <c r="L65" t="e">
        <f>AT25</f>
        <v>#DIV/0!</v>
      </c>
    </row>
    <row r="66" spans="8:12" x14ac:dyDescent="0.25">
      <c r="H66" t="s">
        <v>18</v>
      </c>
      <c r="I66">
        <v>70</v>
      </c>
      <c r="J66">
        <v>50</v>
      </c>
      <c r="K66">
        <v>14</v>
      </c>
      <c r="L66" t="e">
        <f>AU25</f>
        <v>#DIV/0!</v>
      </c>
    </row>
    <row r="67" spans="8:12" x14ac:dyDescent="0.25">
      <c r="H67" t="s">
        <v>19</v>
      </c>
      <c r="I67">
        <v>70</v>
      </c>
      <c r="J67">
        <v>30</v>
      </c>
      <c r="K67">
        <v>14</v>
      </c>
      <c r="L67" t="e">
        <f>AV25</f>
        <v>#DIV/0!</v>
      </c>
    </row>
    <row r="68" spans="8:12" x14ac:dyDescent="0.25">
      <c r="H68" t="s">
        <v>20</v>
      </c>
      <c r="I68">
        <v>70</v>
      </c>
      <c r="J68">
        <v>10</v>
      </c>
      <c r="K68">
        <v>14</v>
      </c>
      <c r="L68" t="e">
        <f>AW25</f>
        <v>#DIV/0!</v>
      </c>
    </row>
    <row r="69" spans="8:12" x14ac:dyDescent="0.25">
      <c r="H69" t="s">
        <v>21</v>
      </c>
      <c r="I69">
        <v>50</v>
      </c>
      <c r="J69">
        <v>50</v>
      </c>
      <c r="K69">
        <v>14</v>
      </c>
      <c r="L69" t="e">
        <f>AX25</f>
        <v>#DIV/0!</v>
      </c>
    </row>
    <row r="70" spans="8:12" x14ac:dyDescent="0.25">
      <c r="H70" t="s">
        <v>22</v>
      </c>
      <c r="I70">
        <v>50</v>
      </c>
      <c r="J70">
        <v>30</v>
      </c>
      <c r="K70">
        <v>14</v>
      </c>
      <c r="L70" t="e">
        <f>AY25</f>
        <v>#DIV/0!</v>
      </c>
    </row>
    <row r="71" spans="8:12" x14ac:dyDescent="0.25">
      <c r="H71" t="s">
        <v>23</v>
      </c>
      <c r="I71">
        <v>50</v>
      </c>
      <c r="J71">
        <v>10</v>
      </c>
      <c r="K71">
        <v>14</v>
      </c>
      <c r="L71" t="e">
        <f>AZ25</f>
        <v>#DIV/0!</v>
      </c>
    </row>
    <row r="72" spans="8:12" x14ac:dyDescent="0.25">
      <c r="H72" t="s">
        <v>24</v>
      </c>
      <c r="I72">
        <v>30</v>
      </c>
      <c r="J72">
        <v>50</v>
      </c>
      <c r="K72">
        <v>14</v>
      </c>
      <c r="L72" t="e">
        <f>BA25</f>
        <v>#DIV/0!</v>
      </c>
    </row>
    <row r="73" spans="8:12" x14ac:dyDescent="0.25">
      <c r="H73" t="s">
        <v>26</v>
      </c>
      <c r="I73">
        <v>30</v>
      </c>
      <c r="J73">
        <v>30</v>
      </c>
      <c r="K73">
        <v>14</v>
      </c>
      <c r="L73" t="e">
        <f>BB25</f>
        <v>#DIV/0!</v>
      </c>
    </row>
    <row r="74" spans="8:12" x14ac:dyDescent="0.25">
      <c r="H74" t="s">
        <v>25</v>
      </c>
      <c r="I74">
        <v>30</v>
      </c>
      <c r="J74">
        <v>10</v>
      </c>
      <c r="K74">
        <v>14</v>
      </c>
      <c r="L74" t="e">
        <f>BC25</f>
        <v>#DIV/0!</v>
      </c>
    </row>
    <row r="75" spans="8:12" x14ac:dyDescent="0.25">
      <c r="H75" t="s">
        <v>27</v>
      </c>
      <c r="I75">
        <v>10</v>
      </c>
      <c r="J75">
        <v>50</v>
      </c>
      <c r="K75">
        <v>14</v>
      </c>
      <c r="L75" t="e">
        <f>BD25</f>
        <v>#DIV/0!</v>
      </c>
    </row>
    <row r="76" spans="8:12" x14ac:dyDescent="0.25">
      <c r="H76" t="s">
        <v>28</v>
      </c>
      <c r="I76">
        <v>10</v>
      </c>
      <c r="J76">
        <v>30</v>
      </c>
      <c r="K76">
        <v>14</v>
      </c>
      <c r="L76" t="e">
        <f>BE25</f>
        <v>#DIV/0!</v>
      </c>
    </row>
    <row r="77" spans="8:12" x14ac:dyDescent="0.25">
      <c r="H77" t="s">
        <v>29</v>
      </c>
      <c r="I77">
        <v>10</v>
      </c>
      <c r="J77">
        <v>10</v>
      </c>
      <c r="K77">
        <v>14</v>
      </c>
      <c r="L77" t="e">
        <f>BF25</f>
        <v>#DIV/0!</v>
      </c>
    </row>
    <row r="80" spans="8:12" x14ac:dyDescent="0.25">
      <c r="I80" s="4" t="s">
        <v>32</v>
      </c>
      <c r="J80" s="4" t="s">
        <v>30</v>
      </c>
      <c r="K80" s="4" t="s">
        <v>31</v>
      </c>
    </row>
    <row r="81" spans="9:22" x14ac:dyDescent="0.25">
      <c r="I81" s="19" t="s">
        <v>69</v>
      </c>
      <c r="J81" s="20">
        <v>3107.7242211075068</v>
      </c>
      <c r="K81" s="20">
        <v>25.3</v>
      </c>
    </row>
    <row r="82" spans="9:22" x14ac:dyDescent="0.25">
      <c r="I82" s="19" t="s">
        <v>70</v>
      </c>
      <c r="J82" s="20">
        <v>3701.0150575776001</v>
      </c>
      <c r="K82" s="20">
        <v>28</v>
      </c>
    </row>
    <row r="83" spans="9:22" x14ac:dyDescent="0.25">
      <c r="I83" s="19" t="s">
        <v>71</v>
      </c>
      <c r="J83" s="20">
        <v>4217.2504799386497</v>
      </c>
      <c r="K83" s="20">
        <v>33</v>
      </c>
    </row>
    <row r="84" spans="9:22" x14ac:dyDescent="0.25">
      <c r="I84" s="19" t="s">
        <v>72</v>
      </c>
      <c r="J84" s="20">
        <v>4521.0370231353609</v>
      </c>
      <c r="K84" s="20">
        <v>36</v>
      </c>
    </row>
    <row r="85" spans="9:22" x14ac:dyDescent="0.25">
      <c r="I85" s="19" t="s">
        <v>73</v>
      </c>
      <c r="J85" s="20">
        <v>5805.1830326585314</v>
      </c>
      <c r="K85" s="20">
        <v>46</v>
      </c>
    </row>
    <row r="86" spans="9:22" x14ac:dyDescent="0.25">
      <c r="I86" s="19" t="s">
        <v>74</v>
      </c>
      <c r="J86" s="20">
        <v>6814.1586656415993</v>
      </c>
      <c r="K86" s="20">
        <v>52</v>
      </c>
    </row>
    <row r="87" spans="9:22" x14ac:dyDescent="0.25">
      <c r="I87" s="19" t="s">
        <v>75</v>
      </c>
      <c r="J87" s="20">
        <v>7618.6698325919997</v>
      </c>
      <c r="K87" s="20">
        <v>60</v>
      </c>
      <c r="N87" t="s">
        <v>11</v>
      </c>
      <c r="O87" t="s">
        <v>12</v>
      </c>
      <c r="P87" t="s">
        <v>15</v>
      </c>
      <c r="R87" t="s">
        <v>62</v>
      </c>
      <c r="S87" t="s">
        <v>56</v>
      </c>
      <c r="T87" t="s">
        <v>57</v>
      </c>
      <c r="V87" t="s">
        <v>59</v>
      </c>
    </row>
    <row r="88" spans="9:22" x14ac:dyDescent="0.25">
      <c r="I88" s="19" t="s">
        <v>76</v>
      </c>
      <c r="J88" s="20">
        <v>8763.3617809856205</v>
      </c>
      <c r="K88" s="20">
        <v>69.400000000000006</v>
      </c>
      <c r="N88">
        <v>80</v>
      </c>
      <c r="O88">
        <v>50</v>
      </c>
      <c r="P88">
        <v>20</v>
      </c>
      <c r="R88">
        <v>24</v>
      </c>
      <c r="S88">
        <v>1.26</v>
      </c>
      <c r="T88">
        <v>1.28</v>
      </c>
      <c r="V88">
        <v>0</v>
      </c>
    </row>
    <row r="89" spans="9:22" x14ac:dyDescent="0.25">
      <c r="I89" s="19" t="s">
        <v>77</v>
      </c>
      <c r="J89" s="20">
        <v>2226.8501027125135</v>
      </c>
      <c r="K89" s="20">
        <v>18.100000000000001</v>
      </c>
      <c r="N89">
        <v>70</v>
      </c>
      <c r="O89">
        <v>30</v>
      </c>
      <c r="R89">
        <v>22</v>
      </c>
      <c r="S89" s="13">
        <v>1.22</v>
      </c>
      <c r="T89">
        <v>1.3</v>
      </c>
      <c r="V89">
        <v>90</v>
      </c>
    </row>
    <row r="90" spans="9:22" x14ac:dyDescent="0.25">
      <c r="I90" s="19" t="s">
        <v>78</v>
      </c>
      <c r="J90" s="20">
        <v>2902.6270874176162</v>
      </c>
      <c r="K90" s="20">
        <v>24.9</v>
      </c>
      <c r="N90">
        <v>50</v>
      </c>
      <c r="O90">
        <v>10</v>
      </c>
      <c r="R90">
        <v>14</v>
      </c>
      <c r="S90">
        <v>1.26</v>
      </c>
      <c r="T90">
        <v>1.3</v>
      </c>
    </row>
    <row r="91" spans="9:22" x14ac:dyDescent="0.25">
      <c r="I91" s="19" t="s">
        <v>79</v>
      </c>
      <c r="J91" s="20">
        <v>3746.9639917158397</v>
      </c>
      <c r="K91" s="20">
        <v>32</v>
      </c>
      <c r="N91">
        <v>30</v>
      </c>
    </row>
    <row r="92" spans="9:22" x14ac:dyDescent="0.25">
      <c r="I92" s="19" t="s">
        <v>80</v>
      </c>
      <c r="J92" s="20">
        <v>4551.7466209699051</v>
      </c>
      <c r="K92" s="20">
        <v>36.700000000000003</v>
      </c>
      <c r="N92">
        <v>10</v>
      </c>
    </row>
    <row r="93" spans="9:22" x14ac:dyDescent="0.25">
      <c r="I93" s="19" t="s">
        <v>81</v>
      </c>
      <c r="J93" s="20">
        <v>5731.4559193975865</v>
      </c>
      <c r="K93" s="20">
        <v>50.1</v>
      </c>
    </row>
    <row r="94" spans="9:22" x14ac:dyDescent="0.25">
      <c r="I94" s="19" t="s">
        <v>82</v>
      </c>
      <c r="J94" s="20">
        <v>2237.6303167898723</v>
      </c>
      <c r="K94" s="20">
        <v>18</v>
      </c>
    </row>
    <row r="95" spans="9:22" x14ac:dyDescent="0.25">
      <c r="I95" s="19" t="s">
        <v>83</v>
      </c>
      <c r="J95" s="20">
        <v>2938.5186229951669</v>
      </c>
      <c r="K95" s="20">
        <v>24.5</v>
      </c>
    </row>
    <row r="96" spans="9:22" x14ac:dyDescent="0.25">
      <c r="I96" s="19" t="s">
        <v>84</v>
      </c>
      <c r="J96" s="20">
        <v>3678.8824474976</v>
      </c>
      <c r="K96" s="20">
        <v>28</v>
      </c>
    </row>
    <row r="97" spans="9:11" x14ac:dyDescent="0.25">
      <c r="I97" s="19" t="s">
        <v>85</v>
      </c>
      <c r="J97" s="20">
        <v>4494.0005620473603</v>
      </c>
      <c r="K97" s="20">
        <v>36</v>
      </c>
    </row>
    <row r="98" spans="9:11" x14ac:dyDescent="0.25">
      <c r="I98" s="19" t="s">
        <v>86</v>
      </c>
      <c r="J98" s="20">
        <v>6022.8965019644347</v>
      </c>
      <c r="K98" s="20">
        <v>49.6</v>
      </c>
    </row>
    <row r="99" spans="9:11" x14ac:dyDescent="0.25">
      <c r="I99" s="19" t="s">
        <v>108</v>
      </c>
      <c r="J99" s="20">
        <v>4633.7005360396788</v>
      </c>
      <c r="K99" s="20">
        <v>36</v>
      </c>
    </row>
    <row r="100" spans="9:11" x14ac:dyDescent="0.25">
      <c r="I100" s="19" t="s">
        <v>109</v>
      </c>
      <c r="J100" s="20">
        <v>6299.8165203750004</v>
      </c>
      <c r="K100" s="20">
        <v>50</v>
      </c>
    </row>
    <row r="101" spans="9:11" x14ac:dyDescent="0.25">
      <c r="I101" s="19" t="s">
        <v>110</v>
      </c>
      <c r="J101" s="20">
        <v>7688.8687417920009</v>
      </c>
      <c r="K101" s="20">
        <v>56</v>
      </c>
    </row>
    <row r="102" spans="9:11" x14ac:dyDescent="0.25">
      <c r="I102" s="19" t="s">
        <v>111</v>
      </c>
      <c r="J102" s="20">
        <v>9733.1259916800027</v>
      </c>
      <c r="K102" s="20">
        <v>72</v>
      </c>
    </row>
    <row r="103" spans="9:11" x14ac:dyDescent="0.25">
      <c r="I103" s="19" t="s">
        <v>87</v>
      </c>
      <c r="J103" s="20">
        <v>3159.9548802857844</v>
      </c>
      <c r="K103" s="20">
        <v>25.3</v>
      </c>
    </row>
    <row r="104" spans="9:11" x14ac:dyDescent="0.25">
      <c r="I104" s="19" t="s">
        <v>88</v>
      </c>
      <c r="J104" s="20">
        <v>3763.2169913184002</v>
      </c>
      <c r="K104" s="20">
        <v>28</v>
      </c>
    </row>
    <row r="105" spans="9:11" x14ac:dyDescent="0.25">
      <c r="I105" s="19" t="s">
        <v>89</v>
      </c>
      <c r="J105" s="20">
        <v>4288.1286392653501</v>
      </c>
      <c r="K105" s="20">
        <v>33</v>
      </c>
    </row>
    <row r="106" spans="9:11" x14ac:dyDescent="0.25">
      <c r="I106" s="19" t="s">
        <v>90</v>
      </c>
      <c r="J106" s="20">
        <v>4597.0208386502409</v>
      </c>
      <c r="K106" s="20">
        <v>36</v>
      </c>
    </row>
    <row r="107" spans="9:11" x14ac:dyDescent="0.25">
      <c r="I107" s="19" t="s">
        <v>91</v>
      </c>
      <c r="J107" s="20">
        <v>5902.7491340477509</v>
      </c>
      <c r="K107" s="20">
        <v>46</v>
      </c>
    </row>
    <row r="108" spans="9:11" x14ac:dyDescent="0.25">
      <c r="I108" s="19" t="s">
        <v>92</v>
      </c>
      <c r="J108" s="20">
        <v>6928.6823406943995</v>
      </c>
      <c r="K108" s="20">
        <v>52</v>
      </c>
    </row>
    <row r="109" spans="9:11" x14ac:dyDescent="0.25">
      <c r="I109" s="19" t="s">
        <v>93</v>
      </c>
      <c r="J109" s="20">
        <v>7746.7147037280001</v>
      </c>
      <c r="K109" s="20">
        <v>60</v>
      </c>
    </row>
    <row r="110" spans="9:11" x14ac:dyDescent="0.25">
      <c r="I110" s="19" t="s">
        <v>94</v>
      </c>
      <c r="J110" s="20">
        <v>8910.6451722626898</v>
      </c>
      <c r="K110" s="20">
        <v>69.400000000000006</v>
      </c>
    </row>
    <row r="111" spans="9:11" x14ac:dyDescent="0.25">
      <c r="I111" s="19" t="s">
        <v>95</v>
      </c>
      <c r="J111" s="20">
        <v>2264.2761548589424</v>
      </c>
      <c r="K111" s="20">
        <v>18.100000000000001</v>
      </c>
    </row>
    <row r="112" spans="9:11" x14ac:dyDescent="0.25">
      <c r="I112" s="19" t="s">
        <v>96</v>
      </c>
      <c r="J112" s="20">
        <v>2951.4107359456434</v>
      </c>
      <c r="K112" s="20">
        <v>24.9</v>
      </c>
    </row>
    <row r="113" spans="9:11" x14ac:dyDescent="0.25">
      <c r="I113" s="19" t="s">
        <v>97</v>
      </c>
      <c r="J113" s="20">
        <v>3809.9381764505597</v>
      </c>
      <c r="K113" s="20">
        <v>32</v>
      </c>
    </row>
    <row r="114" spans="9:11" x14ac:dyDescent="0.25">
      <c r="I114" s="19" t="s">
        <v>98</v>
      </c>
      <c r="J114" s="20">
        <v>4628.2465641794834</v>
      </c>
      <c r="K114" s="20">
        <v>36.700000000000003</v>
      </c>
    </row>
    <row r="115" spans="9:11" x14ac:dyDescent="0.25">
      <c r="I115" s="19" t="s">
        <v>99</v>
      </c>
      <c r="J115" s="20">
        <v>5827.7829096395626</v>
      </c>
      <c r="K115" s="20">
        <v>50.1</v>
      </c>
    </row>
    <row r="116" spans="9:11" x14ac:dyDescent="0.25">
      <c r="I116" s="19" t="s">
        <v>100</v>
      </c>
      <c r="J116" s="20">
        <v>2275.237549004828</v>
      </c>
      <c r="K116" s="20">
        <v>18</v>
      </c>
    </row>
    <row r="117" spans="9:11" x14ac:dyDescent="0.25">
      <c r="I117" s="19" t="s">
        <v>101</v>
      </c>
      <c r="J117" s="20">
        <v>2987.9054906085307</v>
      </c>
      <c r="K117" s="20">
        <v>24.5</v>
      </c>
    </row>
    <row r="118" spans="9:11" x14ac:dyDescent="0.25">
      <c r="I118" s="19" t="s">
        <v>102</v>
      </c>
      <c r="J118" s="20">
        <v>3740.7124045984001</v>
      </c>
      <c r="K118" s="20">
        <v>28</v>
      </c>
    </row>
    <row r="119" spans="9:11" x14ac:dyDescent="0.25">
      <c r="I119" s="19" t="s">
        <v>103</v>
      </c>
      <c r="J119" s="20">
        <v>4569.5299832582405</v>
      </c>
      <c r="K119" s="20">
        <v>36</v>
      </c>
    </row>
    <row r="120" spans="9:11" x14ac:dyDescent="0.25">
      <c r="I120" s="19" t="s">
        <v>104</v>
      </c>
      <c r="J120" s="20">
        <v>6124.1216532579547</v>
      </c>
      <c r="K120" s="20">
        <v>49.6</v>
      </c>
    </row>
    <row r="121" spans="9:11" x14ac:dyDescent="0.25">
      <c r="I121" s="19" t="s">
        <v>112</v>
      </c>
      <c r="J121" s="20">
        <v>4711.5778559731189</v>
      </c>
      <c r="K121" s="20">
        <v>36</v>
      </c>
    </row>
    <row r="122" spans="9:11" x14ac:dyDescent="0.25">
      <c r="I122" s="19" t="s">
        <v>113</v>
      </c>
      <c r="J122" s="20">
        <v>6405.6957896250005</v>
      </c>
      <c r="K122" s="20">
        <v>50</v>
      </c>
    </row>
    <row r="123" spans="9:11" x14ac:dyDescent="0.25">
      <c r="I123" s="19" t="s">
        <v>114</v>
      </c>
      <c r="J123" s="20">
        <v>7818.0934265280011</v>
      </c>
      <c r="K123" s="20">
        <v>56</v>
      </c>
    </row>
    <row r="124" spans="9:11" x14ac:dyDescent="0.25">
      <c r="I124" s="19" t="s">
        <v>115</v>
      </c>
      <c r="J124" s="20">
        <v>9896.7079411200029</v>
      </c>
      <c r="K124" s="20">
        <v>72</v>
      </c>
    </row>
    <row r="125" spans="9:11" x14ac:dyDescent="0.25">
      <c r="I125" s="19" t="s">
        <v>105</v>
      </c>
      <c r="J125" s="20">
        <v>3264.4161986423392</v>
      </c>
      <c r="K125" s="20">
        <v>25.3</v>
      </c>
    </row>
    <row r="126" spans="9:11" x14ac:dyDescent="0.25">
      <c r="I126" s="19" t="s">
        <v>106</v>
      </c>
      <c r="J126" s="20">
        <v>3887.6208588000004</v>
      </c>
      <c r="K126" s="20">
        <v>28</v>
      </c>
    </row>
    <row r="127" spans="9:11" x14ac:dyDescent="0.25">
      <c r="I127" s="19" t="s">
        <v>107</v>
      </c>
      <c r="J127" s="20">
        <v>4429.8849579187499</v>
      </c>
      <c r="K127" s="20">
        <v>33</v>
      </c>
    </row>
    <row r="128" spans="9:11" x14ac:dyDescent="0.25">
      <c r="I128" s="19" t="s">
        <v>135</v>
      </c>
      <c r="J128" s="20">
        <v>4748.9884696800009</v>
      </c>
      <c r="K128" s="20">
        <v>36</v>
      </c>
    </row>
    <row r="129" spans="9:11" x14ac:dyDescent="0.25">
      <c r="I129" s="19" t="s">
        <v>134</v>
      </c>
      <c r="J129" s="20">
        <v>6097.881336826189</v>
      </c>
      <c r="K129" s="20">
        <v>46</v>
      </c>
    </row>
    <row r="130" spans="9:11" x14ac:dyDescent="0.25">
      <c r="I130" s="19" t="s">
        <v>133</v>
      </c>
      <c r="J130" s="20">
        <v>7157.7296907999998</v>
      </c>
      <c r="K130" s="20">
        <v>52</v>
      </c>
    </row>
    <row r="131" spans="9:11" x14ac:dyDescent="0.25">
      <c r="I131" s="19" t="s">
        <v>132</v>
      </c>
      <c r="J131" s="20">
        <v>8002.8044460000001</v>
      </c>
      <c r="K131" s="20">
        <v>60</v>
      </c>
    </row>
    <row r="132" spans="9:11" x14ac:dyDescent="0.25">
      <c r="I132" s="19" t="s">
        <v>131</v>
      </c>
      <c r="J132" s="20">
        <v>9205.2119548168284</v>
      </c>
      <c r="K132" s="20">
        <v>69.400000000000006</v>
      </c>
    </row>
    <row r="133" spans="9:11" x14ac:dyDescent="0.25">
      <c r="I133" s="19" t="s">
        <v>130</v>
      </c>
      <c r="J133" s="20">
        <v>2339.1282591518002</v>
      </c>
      <c r="K133" s="20">
        <v>18.100000000000001</v>
      </c>
    </row>
    <row r="134" spans="9:11" x14ac:dyDescent="0.25">
      <c r="I134" s="19" t="s">
        <v>129</v>
      </c>
      <c r="J134" s="20">
        <v>3048.9780330016979</v>
      </c>
      <c r="K134" s="20">
        <v>24.9</v>
      </c>
    </row>
    <row r="135" spans="9:11" x14ac:dyDescent="0.25">
      <c r="I135" s="19" t="s">
        <v>128</v>
      </c>
      <c r="J135" s="20">
        <v>3935.8865459199997</v>
      </c>
      <c r="K135" s="20">
        <v>32</v>
      </c>
    </row>
    <row r="136" spans="9:11" x14ac:dyDescent="0.25">
      <c r="I136" s="19" t="s">
        <v>127</v>
      </c>
      <c r="J136" s="20">
        <v>4781.24645059864</v>
      </c>
      <c r="K136" s="20">
        <v>36.700000000000003</v>
      </c>
    </row>
    <row r="137" spans="9:11" x14ac:dyDescent="0.25">
      <c r="I137" s="19" t="s">
        <v>126</v>
      </c>
      <c r="J137" s="20">
        <v>6020.4368901235157</v>
      </c>
      <c r="K137" s="20">
        <v>50.1</v>
      </c>
    </row>
    <row r="138" spans="9:11" x14ac:dyDescent="0.25">
      <c r="I138" s="19" t="s">
        <v>125</v>
      </c>
      <c r="J138" s="20">
        <v>2350.4520134347399</v>
      </c>
      <c r="K138" s="20">
        <v>18</v>
      </c>
    </row>
    <row r="139" spans="9:11" x14ac:dyDescent="0.25">
      <c r="I139" s="19" t="s">
        <v>124</v>
      </c>
      <c r="J139" s="20">
        <v>3086.6792258352593</v>
      </c>
      <c r="K139" s="20">
        <v>24.5</v>
      </c>
    </row>
    <row r="140" spans="9:11" x14ac:dyDescent="0.25">
      <c r="I140" s="19" t="s">
        <v>123</v>
      </c>
      <c r="J140" s="20">
        <v>3864.3723188000004</v>
      </c>
      <c r="K140" s="20">
        <v>28</v>
      </c>
    </row>
    <row r="141" spans="9:11" x14ac:dyDescent="0.25">
      <c r="I141" s="19" t="s">
        <v>122</v>
      </c>
      <c r="J141" s="20">
        <v>4720.5888256800008</v>
      </c>
      <c r="K141" s="20">
        <v>36</v>
      </c>
    </row>
    <row r="142" spans="9:11" x14ac:dyDescent="0.25">
      <c r="I142" s="19" t="s">
        <v>121</v>
      </c>
      <c r="J142" s="20">
        <v>6326.5719558449946</v>
      </c>
      <c r="K142" s="20">
        <v>49.6</v>
      </c>
    </row>
    <row r="143" spans="9:11" x14ac:dyDescent="0.25">
      <c r="I143" s="19" t="s">
        <v>120</v>
      </c>
      <c r="J143" s="20">
        <v>4867.332495839999</v>
      </c>
      <c r="K143" s="20">
        <v>36</v>
      </c>
    </row>
    <row r="144" spans="9:11" x14ac:dyDescent="0.25">
      <c r="I144" s="19" t="s">
        <v>119</v>
      </c>
      <c r="J144" s="20">
        <v>6617.4543281250008</v>
      </c>
      <c r="K144" s="20">
        <v>50</v>
      </c>
    </row>
    <row r="145" spans="9:11" x14ac:dyDescent="0.25">
      <c r="I145" s="19" t="s">
        <v>118</v>
      </c>
      <c r="J145" s="20">
        <v>8076.5427960000015</v>
      </c>
      <c r="K145" s="20">
        <v>56</v>
      </c>
    </row>
    <row r="146" spans="9:11" x14ac:dyDescent="0.25">
      <c r="I146" s="19" t="s">
        <v>117</v>
      </c>
      <c r="J146" s="20">
        <v>10223.871840000003</v>
      </c>
      <c r="K146" s="20">
        <v>72</v>
      </c>
    </row>
    <row r="147" spans="9:11" x14ac:dyDescent="0.25">
      <c r="I147" s="19" t="s">
        <v>116</v>
      </c>
      <c r="J147" s="20">
        <v>3362.3486846016094</v>
      </c>
      <c r="K147" s="20">
        <v>25.3</v>
      </c>
    </row>
    <row r="148" spans="9:11" x14ac:dyDescent="0.25">
      <c r="I148" s="19" t="s">
        <v>136</v>
      </c>
      <c r="J148" s="20">
        <v>4004.2494845640003</v>
      </c>
      <c r="K148" s="20">
        <v>28</v>
      </c>
    </row>
    <row r="149" spans="9:11" x14ac:dyDescent="0.25">
      <c r="I149" s="19" t="s">
        <v>137</v>
      </c>
      <c r="J149" s="20">
        <v>4562.7815066563126</v>
      </c>
      <c r="K149" s="20">
        <v>33</v>
      </c>
    </row>
    <row r="150" spans="9:11" x14ac:dyDescent="0.25">
      <c r="I150" s="19" t="s">
        <v>138</v>
      </c>
      <c r="J150" s="20">
        <v>4891.4581237704015</v>
      </c>
      <c r="K150" s="20">
        <v>36</v>
      </c>
    </row>
    <row r="151" spans="9:11" x14ac:dyDescent="0.25">
      <c r="I151" s="19" t="s">
        <v>139</v>
      </c>
      <c r="J151" s="20">
        <v>6280.817776930975</v>
      </c>
      <c r="K151" s="20">
        <v>46</v>
      </c>
    </row>
    <row r="152" spans="9:11" x14ac:dyDescent="0.25">
      <c r="I152" s="19" t="s">
        <v>140</v>
      </c>
      <c r="J152" s="20">
        <v>7372.4615815240004</v>
      </c>
      <c r="K152" s="20">
        <v>52</v>
      </c>
    </row>
    <row r="153" spans="9:11" x14ac:dyDescent="0.25">
      <c r="I153" s="19" t="s">
        <v>141</v>
      </c>
      <c r="J153" s="20">
        <v>8242.88857938</v>
      </c>
      <c r="K153" s="20">
        <v>60</v>
      </c>
    </row>
    <row r="154" spans="9:11" x14ac:dyDescent="0.25">
      <c r="I154" s="19" t="s">
        <v>142</v>
      </c>
      <c r="J154" s="20">
        <v>9481.3683134613329</v>
      </c>
      <c r="K154" s="20">
        <v>69.400000000000006</v>
      </c>
    </row>
    <row r="155" spans="9:11" x14ac:dyDescent="0.25">
      <c r="I155" s="19" t="s">
        <v>143</v>
      </c>
      <c r="J155" s="20">
        <v>2409.3021069263541</v>
      </c>
      <c r="K155" s="20">
        <v>18.100000000000001</v>
      </c>
    </row>
    <row r="156" spans="9:11" x14ac:dyDescent="0.25">
      <c r="I156" s="19" t="s">
        <v>144</v>
      </c>
      <c r="J156" s="20">
        <v>3140.4473739917489</v>
      </c>
      <c r="K156" s="20">
        <v>24.9</v>
      </c>
    </row>
    <row r="157" spans="9:11" x14ac:dyDescent="0.25">
      <c r="I157" s="19" t="s">
        <v>145</v>
      </c>
      <c r="J157" s="20">
        <v>4053.9631422975999</v>
      </c>
      <c r="K157" s="20">
        <v>32</v>
      </c>
    </row>
    <row r="158" spans="9:11" x14ac:dyDescent="0.25">
      <c r="I158" s="19" t="s">
        <v>146</v>
      </c>
      <c r="J158" s="20">
        <v>4924.6838441165992</v>
      </c>
      <c r="K158" s="20">
        <v>36.700000000000003</v>
      </c>
    </row>
    <row r="159" spans="9:11" x14ac:dyDescent="0.25">
      <c r="I159" s="19" t="s">
        <v>147</v>
      </c>
      <c r="J159" s="20">
        <v>6201.0499968272215</v>
      </c>
      <c r="K159" s="20">
        <v>50.1</v>
      </c>
    </row>
    <row r="160" spans="9:11" x14ac:dyDescent="0.25">
      <c r="I160" s="19" t="s">
        <v>148</v>
      </c>
      <c r="J160" s="20">
        <v>2420.9655738377824</v>
      </c>
      <c r="K160" s="20">
        <v>18</v>
      </c>
    </row>
    <row r="161" spans="9:11" x14ac:dyDescent="0.25">
      <c r="I161" s="19" t="s">
        <v>149</v>
      </c>
      <c r="J161" s="20">
        <v>3179.2796026103174</v>
      </c>
      <c r="K161" s="20">
        <v>24.5</v>
      </c>
    </row>
    <row r="162" spans="9:11" x14ac:dyDescent="0.25">
      <c r="I162" s="19" t="s">
        <v>150</v>
      </c>
      <c r="J162" s="20">
        <v>3980.3034883640003</v>
      </c>
      <c r="K162" s="20">
        <v>28</v>
      </c>
    </row>
    <row r="163" spans="9:11" x14ac:dyDescent="0.25">
      <c r="I163" s="19" t="s">
        <v>151</v>
      </c>
      <c r="J163" s="20">
        <v>4862.2064904504014</v>
      </c>
      <c r="K163" s="20">
        <v>36</v>
      </c>
    </row>
    <row r="164" spans="9:11" x14ac:dyDescent="0.25">
      <c r="I164" s="19" t="s">
        <v>152</v>
      </c>
      <c r="J164" s="20">
        <v>6516.3691145203447</v>
      </c>
      <c r="K164" s="20">
        <v>49.6</v>
      </c>
    </row>
    <row r="165" spans="9:11" x14ac:dyDescent="0.25">
      <c r="I165" s="19" t="s">
        <v>153</v>
      </c>
      <c r="J165" s="20">
        <v>5013.3524707151992</v>
      </c>
      <c r="K165" s="20">
        <v>36</v>
      </c>
    </row>
    <row r="166" spans="9:11" x14ac:dyDescent="0.25">
      <c r="I166" s="19" t="s">
        <v>154</v>
      </c>
      <c r="J166" s="20">
        <v>6815.9779579687511</v>
      </c>
      <c r="K166" s="20">
        <v>50</v>
      </c>
    </row>
    <row r="167" spans="9:11" x14ac:dyDescent="0.25">
      <c r="I167" s="19" t="s">
        <v>155</v>
      </c>
      <c r="J167" s="20">
        <v>8318.839079880001</v>
      </c>
      <c r="K167" s="20">
        <v>56</v>
      </c>
    </row>
    <row r="168" spans="9:11" x14ac:dyDescent="0.25">
      <c r="I168" s="19" t="s">
        <v>156</v>
      </c>
      <c r="J168" s="20">
        <v>10530.587995200003</v>
      </c>
      <c r="K168" s="20">
        <v>72</v>
      </c>
    </row>
  </sheetData>
  <sheetProtection algorithmName="SHA-512" hashValue="6x+B74X3t3qX7WdcY5+SNzBtOvFY8h8xxAFqx5UYb89ijyWI+Ck1eOpqPv6QiGqg8m0GSr7xmkNItBMPhj5v9g==" saltValue="GDPa0BnR/EWCkDA4rfr5Ug==" spinCount="100000" sheet="1" selectLockedCells="1"/>
  <mergeCells count="4">
    <mergeCell ref="A52:D55"/>
    <mergeCell ref="BI5:BK5"/>
    <mergeCell ref="BI6:BK6"/>
    <mergeCell ref="BI7:BK7"/>
  </mergeCells>
  <conditionalFormatting sqref="C44">
    <cfRule type="cellIs" dxfId="12" priority="2" operator="greaterThan">
      <formula>$F$44</formula>
    </cfRule>
  </conditionalFormatting>
  <conditionalFormatting sqref="C45">
    <cfRule type="cellIs" dxfId="11" priority="1" operator="greaterThan">
      <formula>$F$45</formula>
    </cfRule>
  </conditionalFormatting>
  <dataValidations count="4">
    <dataValidation type="list" allowBlank="1" showInputMessage="1" showErrorMessage="1" sqref="C17" xr:uid="{D6D6B794-0576-4D1A-841B-7F621B2A0549}">
      <formula1>$N$88:$N$92</formula1>
    </dataValidation>
    <dataValidation type="list" allowBlank="1" showInputMessage="1" showErrorMessage="1" sqref="C18" xr:uid="{21EA868F-0E83-4015-9A6A-7FBE98F29739}">
      <formula1>$O$88:$O$90</formula1>
    </dataValidation>
    <dataValidation type="list" allowBlank="1" showInputMessage="1" showErrorMessage="1" sqref="C43" xr:uid="{07B110E2-727B-410D-B7D5-CE4A69AE462C}">
      <formula1>$V$88:$V$89</formula1>
    </dataValidation>
    <dataValidation type="list" allowBlank="1" showInputMessage="1" showErrorMessage="1" sqref="C21" xr:uid="{5D123464-4861-4158-BEC8-1210A71B52F4}">
      <formula1>$I$81:$I$168</formula1>
    </dataValidation>
  </dataValidations>
  <pageMargins left="0.45" right="0.45" top="0.5" bottom="0.5" header="0.3" footer="0.3"/>
  <pageSetup scale="87" orientation="portrait" horizontalDpi="1200" verticalDpi="1200" r:id="rId1"/>
  <drawing r:id="rId2"/>
  <tableParts count="10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FFR</vt:lpstr>
      <vt:lpstr>FFR!Print_Area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Phillips</dc:creator>
  <cp:lastModifiedBy>EricRobinson</cp:lastModifiedBy>
  <cp:lastPrinted>2018-06-27T19:43:28Z</cp:lastPrinted>
  <dcterms:created xsi:type="dcterms:W3CDTF">2018-04-03T16:55:23Z</dcterms:created>
  <dcterms:modified xsi:type="dcterms:W3CDTF">2018-06-29T19:09:06Z</dcterms:modified>
</cp:coreProperties>
</file>