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1.xml" ContentType="application/vnd.openxmlformats-officedocument.drawing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2.xml" ContentType="application/vnd.openxmlformats-officedocument.drawing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4.xml" ContentType="application/vnd.openxmlformats-officedocument.drawing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5.xml" ContentType="application/vnd.openxmlformats-officedocument.drawing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6.xml" ContentType="application/vnd.openxmlformats-officedocument.drawing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7.xml" ContentType="application/vnd.openxmlformats-officedocument.drawing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8.xml" ContentType="application/vnd.openxmlformats-officedocument.drawing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9.xml" ContentType="application/vnd.openxmlformats-officedocument.drawing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0.xml" ContentType="application/vnd.openxmlformats-officedocument.drawing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1.xml" ContentType="application/vnd.openxmlformats-officedocument.drawing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EricRobinson\OneDrive - lumenfocus.com\Documents\Website\Room Estimator\Room Estimator Excel Files\"/>
    </mc:Choice>
  </mc:AlternateContent>
  <xr:revisionPtr revIDLastSave="0" documentId="113_{BD3CED9C-EF20-4B50-8BB3-A643AB02072C}" xr6:coauthVersionLast="41" xr6:coauthVersionMax="41" xr10:uidLastSave="{00000000-0000-0000-0000-000000000000}"/>
  <bookViews>
    <workbookView xWindow="-120" yWindow="-120" windowWidth="24240" windowHeight="13140" xr2:uid="{00000000-000D-0000-FFFF-FFFF00000000}"/>
  </bookViews>
  <sheets>
    <sheet name="PBL" sheetId="24" r:id="rId1"/>
    <sheet name="PBLU" sheetId="11" r:id="rId2"/>
    <sheet name="PBLX" sheetId="12" r:id="rId3"/>
    <sheet name="PBL A" sheetId="6" r:id="rId4"/>
    <sheet name="EBL" sheetId="13" r:id="rId5"/>
    <sheet name="WVL2" sheetId="9" r:id="rId6"/>
    <sheet name="WVL4" sheetId="10" r:id="rId7"/>
    <sheet name="NVL" sheetId="14" r:id="rId8"/>
    <sheet name="FFL" sheetId="3" r:id="rId9"/>
    <sheet name="FFL2R" sheetId="15" r:id="rId10"/>
    <sheet name="FFL2RHO" sheetId="16" r:id="rId11"/>
    <sheet name="FFR" sheetId="5" r:id="rId12"/>
    <sheet name="ECL" sheetId="7" r:id="rId13"/>
    <sheet name="RCL" sheetId="8" r:id="rId14"/>
    <sheet name="ATL" sheetId="17" r:id="rId15"/>
    <sheet name="ETL" sheetId="18" r:id="rId16"/>
    <sheet name="PTL" sheetId="19" r:id="rId17"/>
    <sheet name="FPL" sheetId="20" r:id="rId18"/>
    <sheet name="RCL S" sheetId="21" r:id="rId19"/>
    <sheet name="ECL N" sheetId="22" r:id="rId20"/>
    <sheet name="EWL" sheetId="23" r:id="rId21"/>
  </sheets>
  <definedNames>
    <definedName name="_xlnm.Print_Area" localSheetId="14">ATL!$A$1:$DJ$55</definedName>
    <definedName name="_xlnm.Print_Area" localSheetId="4">EBL!$A$1:$BK$55</definedName>
    <definedName name="_xlnm.Print_Area" localSheetId="12">ECL!$A$1:$BK$55</definedName>
    <definedName name="_xlnm.Print_Area" localSheetId="19">'ECL N'!$A$1:$BK$55</definedName>
    <definedName name="_xlnm.Print_Area" localSheetId="15">ETL!$A$1:$BK$55</definedName>
    <definedName name="_xlnm.Print_Area" localSheetId="20">EWL!$A$1:$BK$55</definedName>
    <definedName name="_xlnm.Print_Area" localSheetId="8">FFL!$A$1:$BK$55</definedName>
    <definedName name="_xlnm.Print_Area" localSheetId="9">FFL2R!$A$1:$BK$55</definedName>
    <definedName name="_xlnm.Print_Area" localSheetId="10">FFL2RHO!$A$1:$BK$55</definedName>
    <definedName name="_xlnm.Print_Area" localSheetId="11">FFR!$A$1:$BK$55</definedName>
    <definedName name="_xlnm.Print_Area" localSheetId="17">FPL!$A$1:$BK$55</definedName>
    <definedName name="_xlnm.Print_Area" localSheetId="7">NVL!$A$1:$DJ$55</definedName>
    <definedName name="_xlnm.Print_Area" localSheetId="0">PBL!$A$1:$DJ$54</definedName>
    <definedName name="_xlnm.Print_Area" localSheetId="3">'PBL A'!$A$1:$BK$55</definedName>
    <definedName name="_xlnm.Print_Area" localSheetId="1">PBLU!$A$1:$BK$55</definedName>
    <definedName name="_xlnm.Print_Area" localSheetId="2">PBLX!$A$1:$BK$55</definedName>
    <definedName name="_xlnm.Print_Area" localSheetId="16">PTL!$A$1:$BK$55</definedName>
    <definedName name="_xlnm.Print_Area" localSheetId="13">RCL!$A$1:$BK$55</definedName>
    <definedName name="_xlnm.Print_Area" localSheetId="18">'RCL S'!$A$1:$BK$55</definedName>
    <definedName name="_xlnm.Print_Area" localSheetId="5">'WVL2'!$A$1:$BK$55</definedName>
    <definedName name="_xlnm.Print_Area" localSheetId="6">'WVL4'!$A$1:$BK$55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24" l="1"/>
  <c r="E21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DE29" i="24"/>
  <c r="DD29" i="24"/>
  <c r="DC29" i="24"/>
  <c r="DB29" i="24"/>
  <c r="DA29" i="24"/>
  <c r="CZ29" i="24"/>
  <c r="CY29" i="24"/>
  <c r="CX29" i="24"/>
  <c r="CW29" i="24"/>
  <c r="CV29" i="24"/>
  <c r="CU29" i="24"/>
  <c r="CT29" i="24"/>
  <c r="CS29" i="24"/>
  <c r="CR29" i="24"/>
  <c r="CQ29" i="24"/>
  <c r="CN29" i="24"/>
  <c r="CM29" i="24"/>
  <c r="CL29" i="24"/>
  <c r="CK29" i="24"/>
  <c r="CJ29" i="24"/>
  <c r="CI29" i="24"/>
  <c r="CH29" i="24"/>
  <c r="CG29" i="24"/>
  <c r="CF29" i="24"/>
  <c r="CE29" i="24"/>
  <c r="CD29" i="24"/>
  <c r="CC29" i="24"/>
  <c r="CB29" i="24"/>
  <c r="CA29" i="24"/>
  <c r="BZ29" i="24"/>
  <c r="BW29" i="24"/>
  <c r="BV29" i="24"/>
  <c r="BU29" i="24"/>
  <c r="BT29" i="24"/>
  <c r="BS29" i="24"/>
  <c r="BR29" i="24"/>
  <c r="BQ29" i="24"/>
  <c r="BP29" i="24"/>
  <c r="BO29" i="24"/>
  <c r="BN29" i="24"/>
  <c r="BM29" i="24"/>
  <c r="BL29" i="24"/>
  <c r="BK29" i="24"/>
  <c r="BJ29" i="24"/>
  <c r="BI29" i="24"/>
  <c r="BF29" i="24"/>
  <c r="BE29" i="24"/>
  <c r="BD29" i="24"/>
  <c r="BC29" i="24"/>
  <c r="BB29" i="24"/>
  <c r="BA29" i="24"/>
  <c r="AZ29" i="24"/>
  <c r="AY29" i="24"/>
  <c r="AX29" i="24"/>
  <c r="AW29" i="24"/>
  <c r="AV29" i="24"/>
  <c r="AU29" i="24"/>
  <c r="AT29" i="24"/>
  <c r="AS29" i="24"/>
  <c r="AR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DE28" i="24"/>
  <c r="DD28" i="24"/>
  <c r="DC28" i="24"/>
  <c r="DB28" i="24"/>
  <c r="DA28" i="24"/>
  <c r="CZ28" i="24"/>
  <c r="CY28" i="24"/>
  <c r="CX28" i="24"/>
  <c r="CW28" i="24"/>
  <c r="CV28" i="24"/>
  <c r="CU28" i="24"/>
  <c r="CT28" i="24"/>
  <c r="CS28" i="24"/>
  <c r="CR28" i="24"/>
  <c r="CQ28" i="24" a="1"/>
  <c r="CQ28" i="24" s="1"/>
  <c r="CN28" i="24"/>
  <c r="CM28" i="24"/>
  <c r="CL28" i="24"/>
  <c r="CK28" i="24"/>
  <c r="CJ28" i="24"/>
  <c r="CI28" i="24"/>
  <c r="CH28" i="24"/>
  <c r="CG28" i="24"/>
  <c r="CF28" i="24"/>
  <c r="CE28" i="24"/>
  <c r="CD28" i="24"/>
  <c r="CC28" i="24"/>
  <c r="CB28" i="24"/>
  <c r="CA28" i="24"/>
  <c r="BZ28" i="24" a="1"/>
  <c r="BZ28" i="24" s="1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K28" i="24"/>
  <c r="BJ28" i="24"/>
  <c r="BI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O28" i="24"/>
  <c r="AN28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 a="1"/>
  <c r="J28" i="24" s="1"/>
  <c r="DE27" i="24"/>
  <c r="DD27" i="24"/>
  <c r="DC27" i="24"/>
  <c r="DB27" i="24"/>
  <c r="DA27" i="24"/>
  <c r="CZ27" i="24"/>
  <c r="CY27" i="24"/>
  <c r="CX27" i="24"/>
  <c r="CW27" i="24"/>
  <c r="CV27" i="24"/>
  <c r="CU27" i="24"/>
  <c r="CT27" i="24"/>
  <c r="CS27" i="24"/>
  <c r="CR27" i="24"/>
  <c r="CQ27" i="24" a="1"/>
  <c r="CQ27" i="24" s="1"/>
  <c r="CN27" i="24"/>
  <c r="CM27" i="24"/>
  <c r="CL27" i="24"/>
  <c r="CK27" i="24"/>
  <c r="CJ27" i="24"/>
  <c r="CI27" i="24"/>
  <c r="CH27" i="24"/>
  <c r="CG27" i="24"/>
  <c r="CF27" i="24"/>
  <c r="CE27" i="24"/>
  <c r="CD27" i="24"/>
  <c r="CC27" i="24"/>
  <c r="CB27" i="24"/>
  <c r="CA27" i="24"/>
  <c r="BZ27" i="24" a="1"/>
  <c r="BZ27" i="24" s="1"/>
  <c r="BW27" i="24"/>
  <c r="BV27" i="24"/>
  <c r="BU27" i="24"/>
  <c r="BT27" i="24"/>
  <c r="BS27" i="24"/>
  <c r="BR27" i="24"/>
  <c r="BQ27" i="24"/>
  <c r="BP27" i="24"/>
  <c r="BO27" i="24"/>
  <c r="BN27" i="24"/>
  <c r="BM27" i="24"/>
  <c r="BL27" i="24"/>
  <c r="BK27" i="24"/>
  <c r="BJ27" i="24"/>
  <c r="BI27" i="24"/>
  <c r="BF27" i="24"/>
  <c r="BE27" i="24"/>
  <c r="BD27" i="24"/>
  <c r="BC27" i="24"/>
  <c r="BB27" i="24"/>
  <c r="BA27" i="24"/>
  <c r="AZ27" i="24"/>
  <c r="AY27" i="24"/>
  <c r="AX27" i="24"/>
  <c r="AW27" i="24"/>
  <c r="AV27" i="24"/>
  <c r="AU27" i="24"/>
  <c r="AT27" i="24"/>
  <c r="AS27" i="24"/>
  <c r="AR27" i="24"/>
  <c r="AO27" i="24"/>
  <c r="AN27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A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 a="1"/>
  <c r="J27" i="24" s="1"/>
  <c r="DE26" i="24"/>
  <c r="DD26" i="24"/>
  <c r="DC26" i="24"/>
  <c r="DB26" i="24"/>
  <c r="DA26" i="24"/>
  <c r="CZ26" i="24"/>
  <c r="CY26" i="24"/>
  <c r="CX26" i="24"/>
  <c r="CW26" i="24"/>
  <c r="CV26" i="24"/>
  <c r="CU26" i="24"/>
  <c r="CT26" i="24"/>
  <c r="CS26" i="24"/>
  <c r="CR26" i="24"/>
  <c r="CQ26" i="24"/>
  <c r="CN26" i="24"/>
  <c r="CM26" i="24"/>
  <c r="CL26" i="24"/>
  <c r="CK26" i="24"/>
  <c r="CJ26" i="24"/>
  <c r="CI26" i="24"/>
  <c r="CH26" i="24"/>
  <c r="CG26" i="24"/>
  <c r="CF26" i="24"/>
  <c r="CE26" i="24"/>
  <c r="CD26" i="24"/>
  <c r="CC26" i="24"/>
  <c r="CB26" i="24"/>
  <c r="CA26" i="24"/>
  <c r="BZ26" i="24"/>
  <c r="BW26" i="24"/>
  <c r="BV26" i="24"/>
  <c r="BU26" i="24"/>
  <c r="BT26" i="24"/>
  <c r="BS26" i="24"/>
  <c r="BR26" i="24"/>
  <c r="BQ26" i="24"/>
  <c r="BP26" i="24"/>
  <c r="BO26" i="24"/>
  <c r="BN26" i="24"/>
  <c r="BM26" i="24"/>
  <c r="BL26" i="24"/>
  <c r="BK26" i="24"/>
  <c r="BJ26" i="24"/>
  <c r="BI26" i="24"/>
  <c r="BF26" i="24"/>
  <c r="BE26" i="24"/>
  <c r="BD26" i="24"/>
  <c r="BC26" i="24"/>
  <c r="BB26" i="24"/>
  <c r="BA26" i="24"/>
  <c r="AZ26" i="24"/>
  <c r="AY26" i="24"/>
  <c r="AX26" i="24"/>
  <c r="AW26" i="24"/>
  <c r="AV26" i="24"/>
  <c r="AU26" i="24"/>
  <c r="AT26" i="24"/>
  <c r="AS26" i="24"/>
  <c r="AR26" i="24"/>
  <c r="AO26" i="24"/>
  <c r="AN26" i="24"/>
  <c r="AM26" i="24"/>
  <c r="AL26" i="24"/>
  <c r="AK26" i="24"/>
  <c r="AJ26" i="24"/>
  <c r="AI26" i="24"/>
  <c r="AH26" i="24"/>
  <c r="AG26" i="24"/>
  <c r="AF26" i="24"/>
  <c r="AE26" i="24"/>
  <c r="AD26" i="24"/>
  <c r="AC26" i="24"/>
  <c r="AB26" i="24"/>
  <c r="AA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C23" i="24"/>
  <c r="C22" i="24"/>
  <c r="C16" i="24"/>
  <c r="DB30" i="24" s="1"/>
  <c r="C13" i="24"/>
  <c r="E21" i="23"/>
  <c r="C25" i="23" s="1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 a="1"/>
  <c r="J28" i="23" s="1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 a="1"/>
  <c r="J27" i="23" s="1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C23" i="23"/>
  <c r="C22" i="23"/>
  <c r="C16" i="23"/>
  <c r="BF30" i="23" s="1"/>
  <c r="C13" i="23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 a="1"/>
  <c r="J28" i="22" s="1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 a="1"/>
  <c r="J27" i="22" s="1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C23" i="22"/>
  <c r="C22" i="22"/>
  <c r="E21" i="22"/>
  <c r="C25" i="22" s="1"/>
  <c r="C16" i="22"/>
  <c r="BF30" i="22" s="1"/>
  <c r="C13" i="22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 a="1"/>
  <c r="J28" i="21" s="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 a="1"/>
  <c r="J27" i="21" s="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C23" i="21"/>
  <c r="C22" i="21"/>
  <c r="E21" i="21"/>
  <c r="C25" i="21" s="1"/>
  <c r="C16" i="21"/>
  <c r="BF30" i="21" s="1"/>
  <c r="C13" i="21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 a="1"/>
  <c r="J28" i="20" s="1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 a="1"/>
  <c r="J27" i="20" s="1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C23" i="20"/>
  <c r="C22" i="20"/>
  <c r="E21" i="20"/>
  <c r="C26" i="20" s="1"/>
  <c r="C16" i="20"/>
  <c r="BF30" i="20" s="1"/>
  <c r="C13" i="20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 a="1"/>
  <c r="J28" i="19" s="1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 a="1"/>
  <c r="J27" i="19" s="1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C23" i="19"/>
  <c r="C22" i="19"/>
  <c r="E21" i="19"/>
  <c r="C25" i="19" s="1"/>
  <c r="C16" i="19"/>
  <c r="BF30" i="19" s="1"/>
  <c r="C13" i="19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 a="1"/>
  <c r="J28" i="18" s="1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 a="1"/>
  <c r="J27" i="18" s="1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C23" i="18"/>
  <c r="C33" i="18" s="1"/>
  <c r="C22" i="18"/>
  <c r="E21" i="18"/>
  <c r="C26" i="18" s="1"/>
  <c r="C16" i="18"/>
  <c r="BF30" i="18" s="1"/>
  <c r="C13" i="18"/>
  <c r="C26" i="17" a="1"/>
  <c r="C26" i="17" s="1"/>
  <c r="F21" i="17"/>
  <c r="E21" i="17"/>
  <c r="BK29" i="17"/>
  <c r="BK28" i="17"/>
  <c r="BK27" i="17"/>
  <c r="BK26" i="17"/>
  <c r="BJ29" i="17"/>
  <c r="BJ28" i="17"/>
  <c r="BJ27" i="17"/>
  <c r="BJ26" i="17"/>
  <c r="BI29" i="17"/>
  <c r="BI28" i="17"/>
  <c r="BI27" i="17"/>
  <c r="BI26" i="17"/>
  <c r="DE29" i="17"/>
  <c r="DD29" i="17"/>
  <c r="DC29" i="17"/>
  <c r="DB29" i="17"/>
  <c r="DA29" i="17"/>
  <c r="CZ29" i="17"/>
  <c r="CY29" i="17"/>
  <c r="CX29" i="17"/>
  <c r="CW29" i="17"/>
  <c r="CV29" i="17"/>
  <c r="CU29" i="17"/>
  <c r="CT29" i="17"/>
  <c r="CS29" i="17"/>
  <c r="CR29" i="17"/>
  <c r="CQ29" i="17"/>
  <c r="DE28" i="17"/>
  <c r="DD28" i="17"/>
  <c r="DC28" i="17"/>
  <c r="DB28" i="17"/>
  <c r="DA28" i="17"/>
  <c r="CZ28" i="17"/>
  <c r="CY28" i="17"/>
  <c r="CX28" i="17"/>
  <c r="CW28" i="17"/>
  <c r="CV28" i="17"/>
  <c r="CU28" i="17"/>
  <c r="CT28" i="17"/>
  <c r="CS28" i="17"/>
  <c r="CR28" i="17"/>
  <c r="CQ28" i="17" a="1"/>
  <c r="CQ28" i="17" s="1"/>
  <c r="DE27" i="17"/>
  <c r="DD27" i="17"/>
  <c r="DC27" i="17"/>
  <c r="DB27" i="17"/>
  <c r="DA27" i="17"/>
  <c r="CZ27" i="17"/>
  <c r="CY27" i="17"/>
  <c r="CX27" i="17"/>
  <c r="CW27" i="17"/>
  <c r="CV27" i="17"/>
  <c r="CU27" i="17"/>
  <c r="CT27" i="17"/>
  <c r="CS27" i="17"/>
  <c r="CR27" i="17"/>
  <c r="CQ27" i="17" a="1"/>
  <c r="CQ27" i="17" s="1"/>
  <c r="DE26" i="17"/>
  <c r="DD26" i="17"/>
  <c r="DC26" i="17"/>
  <c r="DB26" i="17"/>
  <c r="DA26" i="17"/>
  <c r="CZ26" i="17"/>
  <c r="CY26" i="17"/>
  <c r="CX26" i="17"/>
  <c r="CW26" i="17"/>
  <c r="CV26" i="17"/>
  <c r="CU26" i="17"/>
  <c r="CT26" i="17"/>
  <c r="CS26" i="17"/>
  <c r="CR26" i="17"/>
  <c r="CQ26" i="17"/>
  <c r="CN29" i="17"/>
  <c r="CM29" i="17"/>
  <c r="CL29" i="17"/>
  <c r="CK29" i="17"/>
  <c r="CJ29" i="17"/>
  <c r="CI29" i="17"/>
  <c r="CH29" i="17"/>
  <c r="CG29" i="17"/>
  <c r="CF29" i="17"/>
  <c r="CE29" i="17"/>
  <c r="CD29" i="17"/>
  <c r="CC29" i="17"/>
  <c r="CB29" i="17"/>
  <c r="CA29" i="17"/>
  <c r="BZ29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 a="1"/>
  <c r="BZ28" i="17" s="1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 a="1"/>
  <c r="BZ27" i="17" s="1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W29" i="17"/>
  <c r="BV29" i="17"/>
  <c r="BU29" i="17"/>
  <c r="BT29" i="17"/>
  <c r="BS29" i="17"/>
  <c r="BR29" i="17"/>
  <c r="BQ29" i="17"/>
  <c r="BP29" i="17"/>
  <c r="BO29" i="17"/>
  <c r="BN29" i="17"/>
  <c r="BM29" i="17"/>
  <c r="BL29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 a="1"/>
  <c r="J28" i="17" s="1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 a="1"/>
  <c r="J27" i="17" s="1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C23" i="17"/>
  <c r="C22" i="17"/>
  <c r="C16" i="17"/>
  <c r="BE30" i="17" s="1"/>
  <c r="C13" i="17"/>
  <c r="BF25" i="21" l="1"/>
  <c r="L77" i="21" s="1"/>
  <c r="BF25" i="22"/>
  <c r="L77" i="22" s="1"/>
  <c r="C34" i="22"/>
  <c r="C25" i="17" a="1"/>
  <c r="C25" i="17" s="1"/>
  <c r="E45" i="17" s="1"/>
  <c r="F45" i="17" s="1"/>
  <c r="C34" i="17"/>
  <c r="C25" i="24" a="1"/>
  <c r="C25" i="24" s="1"/>
  <c r="Q30" i="24"/>
  <c r="Q25" i="24" s="1"/>
  <c r="CK30" i="24"/>
  <c r="CK25" i="24" s="1"/>
  <c r="M104" i="24" s="1"/>
  <c r="AA30" i="24"/>
  <c r="AA25" i="24" s="1"/>
  <c r="M48" i="24" s="1"/>
  <c r="CU30" i="24"/>
  <c r="CU25" i="24" s="1"/>
  <c r="M112" i="24" s="1"/>
  <c r="AI30" i="24"/>
  <c r="AI25" i="24" s="1"/>
  <c r="M56" i="24" s="1"/>
  <c r="DC30" i="24"/>
  <c r="DC25" i="24" s="1"/>
  <c r="M120" i="24" s="1"/>
  <c r="AS30" i="24"/>
  <c r="AS25" i="24" s="1"/>
  <c r="M64" i="24" s="1"/>
  <c r="BA30" i="24"/>
  <c r="BA25" i="24" s="1"/>
  <c r="M72" i="24" s="1"/>
  <c r="BK30" i="24"/>
  <c r="BK25" i="24" s="1"/>
  <c r="M80" i="24" s="1"/>
  <c r="BS30" i="24"/>
  <c r="BS25" i="24" s="1"/>
  <c r="C34" i="24"/>
  <c r="CC30" i="24"/>
  <c r="CC25" i="24" s="1"/>
  <c r="M96" i="24" s="1"/>
  <c r="DB25" i="24"/>
  <c r="M119" i="24" s="1"/>
  <c r="C26" i="24" a="1"/>
  <c r="C26" i="24" s="1"/>
  <c r="J30" i="24"/>
  <c r="J25" i="24" s="1"/>
  <c r="M33" i="24" s="1"/>
  <c r="R30" i="24"/>
  <c r="R25" i="24" s="1"/>
  <c r="M41" i="24" s="1"/>
  <c r="AB30" i="24"/>
  <c r="AB25" i="24" s="1"/>
  <c r="M49" i="24" s="1"/>
  <c r="AJ30" i="24"/>
  <c r="AJ25" i="24" s="1"/>
  <c r="M57" i="24" s="1"/>
  <c r="AT30" i="24"/>
  <c r="AT25" i="24" s="1"/>
  <c r="M65" i="24" s="1"/>
  <c r="BB30" i="24"/>
  <c r="BB25" i="24" s="1"/>
  <c r="M73" i="24" s="1"/>
  <c r="BL30" i="24"/>
  <c r="BL25" i="24" s="1"/>
  <c r="M81" i="24" s="1"/>
  <c r="BT30" i="24"/>
  <c r="BT25" i="24" s="1"/>
  <c r="CD30" i="24"/>
  <c r="CD25" i="24" s="1"/>
  <c r="M97" i="24" s="1"/>
  <c r="CL30" i="24"/>
  <c r="CL25" i="24" s="1"/>
  <c r="M105" i="24" s="1"/>
  <c r="CV30" i="24"/>
  <c r="CV25" i="24" s="1"/>
  <c r="M113" i="24" s="1"/>
  <c r="DD30" i="24"/>
  <c r="DD25" i="24" s="1"/>
  <c r="M121" i="24" s="1"/>
  <c r="K30" i="24"/>
  <c r="K25" i="24" s="1"/>
  <c r="M34" i="24" s="1"/>
  <c r="S30" i="24"/>
  <c r="S25" i="24" s="1"/>
  <c r="M42" i="24" s="1"/>
  <c r="AC30" i="24"/>
  <c r="AC25" i="24" s="1"/>
  <c r="M50" i="24" s="1"/>
  <c r="AK30" i="24"/>
  <c r="AK25" i="24" s="1"/>
  <c r="M58" i="24" s="1"/>
  <c r="AU30" i="24"/>
  <c r="AU25" i="24" s="1"/>
  <c r="M66" i="24" s="1"/>
  <c r="BC30" i="24"/>
  <c r="BC25" i="24" s="1"/>
  <c r="M74" i="24" s="1"/>
  <c r="BM30" i="24"/>
  <c r="BM25" i="24" s="1"/>
  <c r="M82" i="24" s="1"/>
  <c r="BU30" i="24"/>
  <c r="BU25" i="24" s="1"/>
  <c r="CE30" i="24"/>
  <c r="CE25" i="24" s="1"/>
  <c r="M98" i="24" s="1"/>
  <c r="CM30" i="24"/>
  <c r="CM25" i="24" s="1"/>
  <c r="M106" i="24" s="1"/>
  <c r="CW30" i="24"/>
  <c r="CW25" i="24" s="1"/>
  <c r="M114" i="24" s="1"/>
  <c r="DE30" i="24"/>
  <c r="DE25" i="24" s="1"/>
  <c r="M122" i="24" s="1"/>
  <c r="L30" i="24"/>
  <c r="L25" i="24" s="1"/>
  <c r="M35" i="24" s="1"/>
  <c r="T30" i="24"/>
  <c r="T25" i="24" s="1"/>
  <c r="M43" i="24" s="1"/>
  <c r="AD30" i="24"/>
  <c r="AD25" i="24" s="1"/>
  <c r="M51" i="24" s="1"/>
  <c r="AL30" i="24"/>
  <c r="AL25" i="24" s="1"/>
  <c r="M59" i="24" s="1"/>
  <c r="AV30" i="24"/>
  <c r="AV25" i="24" s="1"/>
  <c r="M67" i="24" s="1"/>
  <c r="BD30" i="24"/>
  <c r="BD25" i="24" s="1"/>
  <c r="M75" i="24" s="1"/>
  <c r="BN30" i="24"/>
  <c r="BN25" i="24" s="1"/>
  <c r="M83" i="24" s="1"/>
  <c r="BV30" i="24"/>
  <c r="BV25" i="24" s="1"/>
  <c r="M91" i="24" s="1"/>
  <c r="CF30" i="24"/>
  <c r="CF25" i="24" s="1"/>
  <c r="M99" i="24" s="1"/>
  <c r="CN30" i="24"/>
  <c r="CN25" i="24" s="1"/>
  <c r="M107" i="24" s="1"/>
  <c r="CX30" i="24"/>
  <c r="CX25" i="24" s="1"/>
  <c r="M115" i="24" s="1"/>
  <c r="M30" i="24"/>
  <c r="M25" i="24" s="1"/>
  <c r="U30" i="24"/>
  <c r="U25" i="24" s="1"/>
  <c r="M44" i="24" s="1"/>
  <c r="AE30" i="24"/>
  <c r="AE25" i="24" s="1"/>
  <c r="M52" i="24" s="1"/>
  <c r="AM30" i="24"/>
  <c r="AM25" i="24" s="1"/>
  <c r="M60" i="24" s="1"/>
  <c r="AW30" i="24"/>
  <c r="AW25" i="24" s="1"/>
  <c r="M68" i="24" s="1"/>
  <c r="BE30" i="24"/>
  <c r="BE25" i="24" s="1"/>
  <c r="M76" i="24" s="1"/>
  <c r="BO30" i="24"/>
  <c r="BO25" i="24" s="1"/>
  <c r="BW30" i="24"/>
  <c r="BW25" i="24" s="1"/>
  <c r="M92" i="24" s="1"/>
  <c r="CG30" i="24"/>
  <c r="CG25" i="24" s="1"/>
  <c r="M100" i="24" s="1"/>
  <c r="CQ30" i="24"/>
  <c r="CQ25" i="24" s="1"/>
  <c r="M108" i="24" s="1"/>
  <c r="CY30" i="24"/>
  <c r="CY25" i="24" s="1"/>
  <c r="M116" i="24" s="1"/>
  <c r="C33" i="24"/>
  <c r="N30" i="24"/>
  <c r="N25" i="24" s="1"/>
  <c r="V30" i="24"/>
  <c r="V25" i="24" s="1"/>
  <c r="M45" i="24" s="1"/>
  <c r="AF30" i="24"/>
  <c r="AF25" i="24" s="1"/>
  <c r="M53" i="24" s="1"/>
  <c r="AN30" i="24"/>
  <c r="AN25" i="24" s="1"/>
  <c r="M61" i="24" s="1"/>
  <c r="AX30" i="24"/>
  <c r="AX25" i="24" s="1"/>
  <c r="M69" i="24" s="1"/>
  <c r="BF30" i="24"/>
  <c r="BF25" i="24" s="1"/>
  <c r="M77" i="24" s="1"/>
  <c r="BP30" i="24"/>
  <c r="BP25" i="24" s="1"/>
  <c r="BZ30" i="24"/>
  <c r="BZ25" i="24" s="1"/>
  <c r="M93" i="24" s="1"/>
  <c r="CH30" i="24"/>
  <c r="CH25" i="24" s="1"/>
  <c r="M101" i="24" s="1"/>
  <c r="CR30" i="24"/>
  <c r="CR25" i="24" s="1"/>
  <c r="M109" i="24" s="1"/>
  <c r="CZ30" i="24"/>
  <c r="CZ25" i="24" s="1"/>
  <c r="M117" i="24" s="1"/>
  <c r="O30" i="24"/>
  <c r="O25" i="24" s="1"/>
  <c r="W30" i="24"/>
  <c r="W25" i="24" s="1"/>
  <c r="M46" i="24" s="1"/>
  <c r="AG30" i="24"/>
  <c r="AG25" i="24" s="1"/>
  <c r="M54" i="24" s="1"/>
  <c r="AO30" i="24"/>
  <c r="AO25" i="24" s="1"/>
  <c r="M62" i="24" s="1"/>
  <c r="AY30" i="24"/>
  <c r="AY25" i="24" s="1"/>
  <c r="M70" i="24" s="1"/>
  <c r="BI30" i="24"/>
  <c r="BI25" i="24" s="1"/>
  <c r="M78" i="24" s="1"/>
  <c r="BQ30" i="24"/>
  <c r="BQ25" i="24" s="1"/>
  <c r="CA30" i="24"/>
  <c r="CA25" i="24" s="1"/>
  <c r="M94" i="24" s="1"/>
  <c r="CI30" i="24"/>
  <c r="CI25" i="24" s="1"/>
  <c r="M102" i="24" s="1"/>
  <c r="CS30" i="24"/>
  <c r="CS25" i="24" s="1"/>
  <c r="M110" i="24" s="1"/>
  <c r="DA30" i="24"/>
  <c r="DA25" i="24" s="1"/>
  <c r="M118" i="24" s="1"/>
  <c r="P30" i="24"/>
  <c r="P25" i="24" s="1"/>
  <c r="X30" i="24"/>
  <c r="X25" i="24" s="1"/>
  <c r="M47" i="24" s="1"/>
  <c r="AH30" i="24"/>
  <c r="AH25" i="24" s="1"/>
  <c r="M55" i="24" s="1"/>
  <c r="AR30" i="24"/>
  <c r="AR25" i="24" s="1"/>
  <c r="M63" i="24" s="1"/>
  <c r="AZ30" i="24"/>
  <c r="AZ25" i="24" s="1"/>
  <c r="M71" i="24" s="1"/>
  <c r="BJ30" i="24"/>
  <c r="BJ25" i="24" s="1"/>
  <c r="M79" i="24" s="1"/>
  <c r="BR30" i="24"/>
  <c r="BR25" i="24" s="1"/>
  <c r="CB30" i="24"/>
  <c r="CB25" i="24" s="1"/>
  <c r="M95" i="24" s="1"/>
  <c r="CJ30" i="24"/>
  <c r="CJ25" i="24" s="1"/>
  <c r="M103" i="24" s="1"/>
  <c r="CT30" i="24"/>
  <c r="CT25" i="24" s="1"/>
  <c r="M111" i="24" s="1"/>
  <c r="C34" i="23"/>
  <c r="BF25" i="23"/>
  <c r="L77" i="23" s="1"/>
  <c r="O30" i="23"/>
  <c r="O25" i="23" s="1"/>
  <c r="L38" i="23" s="1"/>
  <c r="W30" i="23"/>
  <c r="W25" i="23" s="1"/>
  <c r="L46" i="23" s="1"/>
  <c r="AG30" i="23"/>
  <c r="AG25" i="23" s="1"/>
  <c r="L54" i="23" s="1"/>
  <c r="AO30" i="23"/>
  <c r="AO25" i="23" s="1"/>
  <c r="L62" i="23" s="1"/>
  <c r="AY30" i="23"/>
  <c r="AY25" i="23" s="1"/>
  <c r="L70" i="23" s="1"/>
  <c r="P30" i="23"/>
  <c r="P25" i="23" s="1"/>
  <c r="L39" i="23" s="1"/>
  <c r="X30" i="23"/>
  <c r="X25" i="23" s="1"/>
  <c r="L47" i="23" s="1"/>
  <c r="AH30" i="23"/>
  <c r="AH25" i="23" s="1"/>
  <c r="L55" i="23" s="1"/>
  <c r="AR30" i="23"/>
  <c r="AR25" i="23" s="1"/>
  <c r="L63" i="23" s="1"/>
  <c r="AZ30" i="23"/>
  <c r="AZ25" i="23" s="1"/>
  <c r="L71" i="23" s="1"/>
  <c r="C33" i="23"/>
  <c r="Q30" i="23"/>
  <c r="Q25" i="23" s="1"/>
  <c r="L40" i="23" s="1"/>
  <c r="AA30" i="23"/>
  <c r="AA25" i="23" s="1"/>
  <c r="L48" i="23" s="1"/>
  <c r="AI30" i="23"/>
  <c r="AI25" i="23" s="1"/>
  <c r="L56" i="23" s="1"/>
  <c r="AS30" i="23"/>
  <c r="AS25" i="23" s="1"/>
  <c r="L64" i="23" s="1"/>
  <c r="BA30" i="23"/>
  <c r="BA25" i="23" s="1"/>
  <c r="L72" i="23" s="1"/>
  <c r="J30" i="23"/>
  <c r="J25" i="23" s="1"/>
  <c r="L33" i="23" s="1"/>
  <c r="R30" i="23"/>
  <c r="R25" i="23" s="1"/>
  <c r="L41" i="23" s="1"/>
  <c r="AB30" i="23"/>
  <c r="AB25" i="23" s="1"/>
  <c r="L49" i="23" s="1"/>
  <c r="AJ30" i="23"/>
  <c r="AJ25" i="23" s="1"/>
  <c r="L57" i="23" s="1"/>
  <c r="AT30" i="23"/>
  <c r="AT25" i="23" s="1"/>
  <c r="L65" i="23" s="1"/>
  <c r="BB30" i="23"/>
  <c r="BB25" i="23" s="1"/>
  <c r="L73" i="23" s="1"/>
  <c r="C26" i="23"/>
  <c r="E45" i="23" s="1"/>
  <c r="F45" i="23" s="1"/>
  <c r="S30" i="23"/>
  <c r="S25" i="23" s="1"/>
  <c r="L42" i="23" s="1"/>
  <c r="AK30" i="23"/>
  <c r="AK25" i="23" s="1"/>
  <c r="L58" i="23" s="1"/>
  <c r="BC30" i="23"/>
  <c r="BC25" i="23" s="1"/>
  <c r="L74" i="23" s="1"/>
  <c r="L30" i="23"/>
  <c r="L25" i="23" s="1"/>
  <c r="L35" i="23" s="1"/>
  <c r="T30" i="23"/>
  <c r="T25" i="23" s="1"/>
  <c r="L43" i="23" s="1"/>
  <c r="AD30" i="23"/>
  <c r="AD25" i="23" s="1"/>
  <c r="L51" i="23" s="1"/>
  <c r="AL30" i="23"/>
  <c r="AL25" i="23" s="1"/>
  <c r="L59" i="23" s="1"/>
  <c r="AV30" i="23"/>
  <c r="AV25" i="23" s="1"/>
  <c r="L67" i="23" s="1"/>
  <c r="BD30" i="23"/>
  <c r="BD25" i="23" s="1"/>
  <c r="L75" i="23" s="1"/>
  <c r="K30" i="23"/>
  <c r="K25" i="23" s="1"/>
  <c r="L34" i="23" s="1"/>
  <c r="AC30" i="23"/>
  <c r="AC25" i="23" s="1"/>
  <c r="L50" i="23" s="1"/>
  <c r="AU30" i="23"/>
  <c r="AU25" i="23" s="1"/>
  <c r="L66" i="23" s="1"/>
  <c r="M30" i="23"/>
  <c r="M25" i="23" s="1"/>
  <c r="L36" i="23" s="1"/>
  <c r="U30" i="23"/>
  <c r="U25" i="23" s="1"/>
  <c r="L44" i="23" s="1"/>
  <c r="AE30" i="23"/>
  <c r="AE25" i="23" s="1"/>
  <c r="L52" i="23" s="1"/>
  <c r="AM30" i="23"/>
  <c r="AM25" i="23" s="1"/>
  <c r="L60" i="23" s="1"/>
  <c r="AW30" i="23"/>
  <c r="AW25" i="23" s="1"/>
  <c r="L68" i="23" s="1"/>
  <c r="BE30" i="23"/>
  <c r="BE25" i="23" s="1"/>
  <c r="L76" i="23" s="1"/>
  <c r="N30" i="23"/>
  <c r="N25" i="23" s="1"/>
  <c r="L37" i="23" s="1"/>
  <c r="V30" i="23"/>
  <c r="V25" i="23" s="1"/>
  <c r="L45" i="23" s="1"/>
  <c r="AF30" i="23"/>
  <c r="AF25" i="23" s="1"/>
  <c r="L53" i="23" s="1"/>
  <c r="AN30" i="23"/>
  <c r="AN25" i="23" s="1"/>
  <c r="L61" i="23" s="1"/>
  <c r="AX30" i="23"/>
  <c r="AX25" i="23" s="1"/>
  <c r="L69" i="23" s="1"/>
  <c r="C26" i="22"/>
  <c r="E45" i="22" s="1"/>
  <c r="F45" i="22" s="1"/>
  <c r="BB25" i="22"/>
  <c r="L73" i="22" s="1"/>
  <c r="O30" i="22"/>
  <c r="O25" i="22" s="1"/>
  <c r="L38" i="22" s="1"/>
  <c r="W30" i="22"/>
  <c r="W25" i="22" s="1"/>
  <c r="L46" i="22" s="1"/>
  <c r="AG30" i="22"/>
  <c r="AG25" i="22" s="1"/>
  <c r="L54" i="22" s="1"/>
  <c r="AO30" i="22"/>
  <c r="AO25" i="22" s="1"/>
  <c r="L62" i="22" s="1"/>
  <c r="AY30" i="22"/>
  <c r="AY25" i="22" s="1"/>
  <c r="L70" i="22" s="1"/>
  <c r="P30" i="22"/>
  <c r="P25" i="22" s="1"/>
  <c r="L39" i="22" s="1"/>
  <c r="X30" i="22"/>
  <c r="X25" i="22" s="1"/>
  <c r="L47" i="22" s="1"/>
  <c r="AH30" i="22"/>
  <c r="AH25" i="22" s="1"/>
  <c r="L55" i="22" s="1"/>
  <c r="C24" i="22" s="1" a="1"/>
  <c r="C24" i="22" s="1"/>
  <c r="AR30" i="22"/>
  <c r="AR25" i="22" s="1"/>
  <c r="L63" i="22" s="1"/>
  <c r="AZ30" i="22"/>
  <c r="AZ25" i="22" s="1"/>
  <c r="L71" i="22" s="1"/>
  <c r="C33" i="22"/>
  <c r="Q30" i="22"/>
  <c r="Q25" i="22" s="1"/>
  <c r="L40" i="22" s="1"/>
  <c r="AA30" i="22"/>
  <c r="AA25" i="22" s="1"/>
  <c r="L48" i="22" s="1"/>
  <c r="AI30" i="22"/>
  <c r="AI25" i="22" s="1"/>
  <c r="L56" i="22" s="1"/>
  <c r="AS30" i="22"/>
  <c r="AS25" i="22" s="1"/>
  <c r="L64" i="22" s="1"/>
  <c r="BA30" i="22"/>
  <c r="BA25" i="22" s="1"/>
  <c r="L72" i="22" s="1"/>
  <c r="J30" i="22"/>
  <c r="J25" i="22" s="1"/>
  <c r="L33" i="22" s="1"/>
  <c r="R30" i="22"/>
  <c r="R25" i="22" s="1"/>
  <c r="L41" i="22" s="1"/>
  <c r="AB30" i="22"/>
  <c r="AB25" i="22" s="1"/>
  <c r="L49" i="22" s="1"/>
  <c r="AJ30" i="22"/>
  <c r="AJ25" i="22" s="1"/>
  <c r="L57" i="22" s="1"/>
  <c r="AT30" i="22"/>
  <c r="AT25" i="22" s="1"/>
  <c r="L65" i="22" s="1"/>
  <c r="BB30" i="22"/>
  <c r="K30" i="22"/>
  <c r="K25" i="22" s="1"/>
  <c r="L34" i="22" s="1"/>
  <c r="S30" i="22"/>
  <c r="S25" i="22" s="1"/>
  <c r="L42" i="22" s="1"/>
  <c r="AC30" i="22"/>
  <c r="AC25" i="22" s="1"/>
  <c r="L50" i="22" s="1"/>
  <c r="AK30" i="22"/>
  <c r="AK25" i="22" s="1"/>
  <c r="L58" i="22" s="1"/>
  <c r="AU30" i="22"/>
  <c r="AU25" i="22" s="1"/>
  <c r="L66" i="22" s="1"/>
  <c r="BC30" i="22"/>
  <c r="BC25" i="22" s="1"/>
  <c r="L74" i="22" s="1"/>
  <c r="L30" i="22"/>
  <c r="L25" i="22" s="1"/>
  <c r="L35" i="22" s="1"/>
  <c r="T30" i="22"/>
  <c r="T25" i="22" s="1"/>
  <c r="L43" i="22" s="1"/>
  <c r="AD30" i="22"/>
  <c r="AD25" i="22" s="1"/>
  <c r="L51" i="22" s="1"/>
  <c r="AL30" i="22"/>
  <c r="AL25" i="22" s="1"/>
  <c r="L59" i="22" s="1"/>
  <c r="AV30" i="22"/>
  <c r="AV25" i="22" s="1"/>
  <c r="L67" i="22" s="1"/>
  <c r="BD30" i="22"/>
  <c r="BD25" i="22" s="1"/>
  <c r="L75" i="22" s="1"/>
  <c r="M30" i="22"/>
  <c r="M25" i="22" s="1"/>
  <c r="L36" i="22" s="1"/>
  <c r="U30" i="22"/>
  <c r="U25" i="22" s="1"/>
  <c r="L44" i="22" s="1"/>
  <c r="AE30" i="22"/>
  <c r="AE25" i="22" s="1"/>
  <c r="L52" i="22" s="1"/>
  <c r="AM30" i="22"/>
  <c r="AM25" i="22" s="1"/>
  <c r="L60" i="22" s="1"/>
  <c r="AW30" i="22"/>
  <c r="AW25" i="22" s="1"/>
  <c r="L68" i="22" s="1"/>
  <c r="BE30" i="22"/>
  <c r="BE25" i="22" s="1"/>
  <c r="L76" i="22" s="1"/>
  <c r="N30" i="22"/>
  <c r="N25" i="22" s="1"/>
  <c r="L37" i="22" s="1"/>
  <c r="V30" i="22"/>
  <c r="V25" i="22" s="1"/>
  <c r="L45" i="22" s="1"/>
  <c r="AF30" i="22"/>
  <c r="AF25" i="22" s="1"/>
  <c r="L53" i="22" s="1"/>
  <c r="AN30" i="22"/>
  <c r="AN25" i="22" s="1"/>
  <c r="L61" i="22" s="1"/>
  <c r="AX30" i="22"/>
  <c r="AX25" i="22" s="1"/>
  <c r="L69" i="22" s="1"/>
  <c r="C34" i="21"/>
  <c r="AO30" i="21"/>
  <c r="AO25" i="21" s="1"/>
  <c r="L62" i="21" s="1"/>
  <c r="P30" i="21"/>
  <c r="P25" i="21" s="1"/>
  <c r="L39" i="21" s="1"/>
  <c r="X30" i="21"/>
  <c r="X25" i="21" s="1"/>
  <c r="L47" i="21" s="1"/>
  <c r="AH30" i="21"/>
  <c r="AH25" i="21" s="1"/>
  <c r="L55" i="21" s="1"/>
  <c r="C24" i="21" s="1" a="1"/>
  <c r="C24" i="21" s="1"/>
  <c r="C32" i="21" s="1"/>
  <c r="AR30" i="21"/>
  <c r="AR25" i="21" s="1"/>
  <c r="L63" i="21" s="1"/>
  <c r="AZ30" i="21"/>
  <c r="AZ25" i="21" s="1"/>
  <c r="L71" i="21" s="1"/>
  <c r="C33" i="21"/>
  <c r="W30" i="21"/>
  <c r="W25" i="21" s="1"/>
  <c r="L46" i="21" s="1"/>
  <c r="Q30" i="21"/>
  <c r="Q25" i="21" s="1"/>
  <c r="L40" i="21" s="1"/>
  <c r="AA30" i="21"/>
  <c r="AA25" i="21" s="1"/>
  <c r="L48" i="21" s="1"/>
  <c r="AI30" i="21"/>
  <c r="AI25" i="21" s="1"/>
  <c r="L56" i="21" s="1"/>
  <c r="AS30" i="21"/>
  <c r="AS25" i="21" s="1"/>
  <c r="L64" i="21" s="1"/>
  <c r="BA30" i="21"/>
  <c r="BA25" i="21" s="1"/>
  <c r="L72" i="21" s="1"/>
  <c r="AY30" i="21"/>
  <c r="AY25" i="21" s="1"/>
  <c r="L70" i="21" s="1"/>
  <c r="J30" i="21"/>
  <c r="J25" i="21" s="1"/>
  <c r="L33" i="21" s="1"/>
  <c r="R30" i="21"/>
  <c r="R25" i="21" s="1"/>
  <c r="L41" i="21" s="1"/>
  <c r="AB30" i="21"/>
  <c r="AB25" i="21" s="1"/>
  <c r="L49" i="21" s="1"/>
  <c r="AJ30" i="21"/>
  <c r="AJ25" i="21" s="1"/>
  <c r="L57" i="21" s="1"/>
  <c r="AT30" i="21"/>
  <c r="AT25" i="21" s="1"/>
  <c r="L65" i="21" s="1"/>
  <c r="BB30" i="21"/>
  <c r="BB25" i="21" s="1"/>
  <c r="L73" i="21" s="1"/>
  <c r="K30" i="21"/>
  <c r="K25" i="21" s="1"/>
  <c r="L34" i="21" s="1"/>
  <c r="S30" i="21"/>
  <c r="S25" i="21" s="1"/>
  <c r="L42" i="21" s="1"/>
  <c r="AC30" i="21"/>
  <c r="AC25" i="21" s="1"/>
  <c r="L50" i="21" s="1"/>
  <c r="AK30" i="21"/>
  <c r="AK25" i="21" s="1"/>
  <c r="L58" i="21" s="1"/>
  <c r="AU30" i="21"/>
  <c r="AU25" i="21" s="1"/>
  <c r="L66" i="21" s="1"/>
  <c r="BC30" i="21"/>
  <c r="BC25" i="21" s="1"/>
  <c r="L74" i="21" s="1"/>
  <c r="C26" i="21"/>
  <c r="E45" i="21" s="1"/>
  <c r="F45" i="21" s="1"/>
  <c r="L30" i="21"/>
  <c r="L25" i="21" s="1"/>
  <c r="L35" i="21" s="1"/>
  <c r="T30" i="21"/>
  <c r="T25" i="21" s="1"/>
  <c r="L43" i="21" s="1"/>
  <c r="AD30" i="21"/>
  <c r="AD25" i="21" s="1"/>
  <c r="L51" i="21" s="1"/>
  <c r="AL30" i="21"/>
  <c r="AL25" i="21" s="1"/>
  <c r="L59" i="21" s="1"/>
  <c r="AV30" i="21"/>
  <c r="AV25" i="21" s="1"/>
  <c r="L67" i="21" s="1"/>
  <c r="BD30" i="21"/>
  <c r="BD25" i="21" s="1"/>
  <c r="L75" i="21" s="1"/>
  <c r="O30" i="21"/>
  <c r="O25" i="21" s="1"/>
  <c r="L38" i="21" s="1"/>
  <c r="M30" i="21"/>
  <c r="M25" i="21" s="1"/>
  <c r="L36" i="21" s="1"/>
  <c r="U30" i="21"/>
  <c r="U25" i="21" s="1"/>
  <c r="L44" i="21" s="1"/>
  <c r="AE30" i="21"/>
  <c r="AE25" i="21" s="1"/>
  <c r="L52" i="21" s="1"/>
  <c r="AM30" i="21"/>
  <c r="AM25" i="21" s="1"/>
  <c r="L60" i="21" s="1"/>
  <c r="AW30" i="21"/>
  <c r="AW25" i="21" s="1"/>
  <c r="L68" i="21" s="1"/>
  <c r="BE30" i="21"/>
  <c r="BE25" i="21" s="1"/>
  <c r="L76" i="21" s="1"/>
  <c r="AG30" i="21"/>
  <c r="AG25" i="21" s="1"/>
  <c r="L54" i="21" s="1"/>
  <c r="N30" i="21"/>
  <c r="N25" i="21" s="1"/>
  <c r="L37" i="21" s="1"/>
  <c r="V30" i="21"/>
  <c r="V25" i="21" s="1"/>
  <c r="L45" i="21" s="1"/>
  <c r="AF30" i="21"/>
  <c r="AF25" i="21" s="1"/>
  <c r="L53" i="21" s="1"/>
  <c r="AN30" i="21"/>
  <c r="AN25" i="21" s="1"/>
  <c r="L61" i="21" s="1"/>
  <c r="AX30" i="21"/>
  <c r="AX25" i="21" s="1"/>
  <c r="L69" i="21" s="1"/>
  <c r="BF25" i="20"/>
  <c r="L77" i="20" s="1"/>
  <c r="C34" i="20"/>
  <c r="C25" i="20"/>
  <c r="E44" i="20" s="1"/>
  <c r="F44" i="20" s="1"/>
  <c r="O30" i="20"/>
  <c r="O25" i="20" s="1"/>
  <c r="L38" i="20" s="1"/>
  <c r="W30" i="20"/>
  <c r="W25" i="20" s="1"/>
  <c r="L46" i="20" s="1"/>
  <c r="AG30" i="20"/>
  <c r="AG25" i="20" s="1"/>
  <c r="L54" i="20" s="1"/>
  <c r="AO30" i="20"/>
  <c r="AO25" i="20" s="1"/>
  <c r="L62" i="20" s="1"/>
  <c r="AY30" i="20"/>
  <c r="AY25" i="20" s="1"/>
  <c r="L70" i="20" s="1"/>
  <c r="P30" i="20"/>
  <c r="P25" i="20" s="1"/>
  <c r="L39" i="20" s="1"/>
  <c r="X30" i="20"/>
  <c r="X25" i="20" s="1"/>
  <c r="L47" i="20" s="1"/>
  <c r="AH30" i="20"/>
  <c r="AH25" i="20" s="1"/>
  <c r="L55" i="20" s="1"/>
  <c r="AR30" i="20"/>
  <c r="AR25" i="20" s="1"/>
  <c r="L63" i="20" s="1"/>
  <c r="AZ30" i="20"/>
  <c r="AZ25" i="20" s="1"/>
  <c r="L71" i="20" s="1"/>
  <c r="C33" i="20"/>
  <c r="Q30" i="20"/>
  <c r="Q25" i="20" s="1"/>
  <c r="L40" i="20" s="1"/>
  <c r="AA30" i="20"/>
  <c r="AA25" i="20" s="1"/>
  <c r="L48" i="20" s="1"/>
  <c r="AI30" i="20"/>
  <c r="AI25" i="20" s="1"/>
  <c r="L56" i="20" s="1"/>
  <c r="AS30" i="20"/>
  <c r="AS25" i="20" s="1"/>
  <c r="L64" i="20" s="1"/>
  <c r="BA30" i="20"/>
  <c r="BA25" i="20" s="1"/>
  <c r="L72" i="20" s="1"/>
  <c r="J30" i="20"/>
  <c r="J25" i="20" s="1"/>
  <c r="L33" i="20" s="1"/>
  <c r="AB30" i="20"/>
  <c r="AB25" i="20" s="1"/>
  <c r="L49" i="20" s="1"/>
  <c r="K30" i="20"/>
  <c r="K25" i="20" s="1"/>
  <c r="L34" i="20" s="1"/>
  <c r="S30" i="20"/>
  <c r="S25" i="20" s="1"/>
  <c r="L42" i="20" s="1"/>
  <c r="AC30" i="20"/>
  <c r="AC25" i="20" s="1"/>
  <c r="L50" i="20" s="1"/>
  <c r="AK30" i="20"/>
  <c r="AK25" i="20" s="1"/>
  <c r="L58" i="20" s="1"/>
  <c r="AU30" i="20"/>
  <c r="AU25" i="20" s="1"/>
  <c r="L66" i="20" s="1"/>
  <c r="BC30" i="20"/>
  <c r="BC25" i="20" s="1"/>
  <c r="L74" i="20" s="1"/>
  <c r="R30" i="20"/>
  <c r="R25" i="20" s="1"/>
  <c r="L41" i="20" s="1"/>
  <c r="AJ30" i="20"/>
  <c r="AJ25" i="20" s="1"/>
  <c r="L57" i="20" s="1"/>
  <c r="AT30" i="20"/>
  <c r="AT25" i="20" s="1"/>
  <c r="L65" i="20" s="1"/>
  <c r="BB30" i="20"/>
  <c r="BB25" i="20" s="1"/>
  <c r="L73" i="20" s="1"/>
  <c r="L30" i="20"/>
  <c r="L25" i="20" s="1"/>
  <c r="L35" i="20" s="1"/>
  <c r="T30" i="20"/>
  <c r="T25" i="20" s="1"/>
  <c r="L43" i="20" s="1"/>
  <c r="AD30" i="20"/>
  <c r="AD25" i="20" s="1"/>
  <c r="L51" i="20" s="1"/>
  <c r="AL30" i="20"/>
  <c r="AL25" i="20" s="1"/>
  <c r="L59" i="20" s="1"/>
  <c r="AV30" i="20"/>
  <c r="AV25" i="20" s="1"/>
  <c r="L67" i="20" s="1"/>
  <c r="BD30" i="20"/>
  <c r="BD25" i="20" s="1"/>
  <c r="L75" i="20" s="1"/>
  <c r="M30" i="20"/>
  <c r="M25" i="20" s="1"/>
  <c r="L36" i="20" s="1"/>
  <c r="U30" i="20"/>
  <c r="U25" i="20" s="1"/>
  <c r="L44" i="20" s="1"/>
  <c r="AE30" i="20"/>
  <c r="AE25" i="20" s="1"/>
  <c r="L52" i="20" s="1"/>
  <c r="AM30" i="20"/>
  <c r="AM25" i="20" s="1"/>
  <c r="L60" i="20" s="1"/>
  <c r="AW30" i="20"/>
  <c r="AW25" i="20" s="1"/>
  <c r="L68" i="20" s="1"/>
  <c r="BE30" i="20"/>
  <c r="BE25" i="20" s="1"/>
  <c r="L76" i="20" s="1"/>
  <c r="N30" i="20"/>
  <c r="N25" i="20" s="1"/>
  <c r="L37" i="20" s="1"/>
  <c r="V30" i="20"/>
  <c r="V25" i="20" s="1"/>
  <c r="L45" i="20" s="1"/>
  <c r="AF30" i="20"/>
  <c r="AF25" i="20" s="1"/>
  <c r="L53" i="20" s="1"/>
  <c r="AN30" i="20"/>
  <c r="AN25" i="20" s="1"/>
  <c r="L61" i="20" s="1"/>
  <c r="AX30" i="20"/>
  <c r="AX25" i="20" s="1"/>
  <c r="L69" i="20" s="1"/>
  <c r="C33" i="17"/>
  <c r="BF25" i="19"/>
  <c r="L77" i="19" s="1"/>
  <c r="C34" i="19"/>
  <c r="P30" i="19"/>
  <c r="P25" i="19" s="1"/>
  <c r="L39" i="19" s="1"/>
  <c r="X30" i="19"/>
  <c r="X25" i="19" s="1"/>
  <c r="L47" i="19" s="1"/>
  <c r="AH30" i="19"/>
  <c r="AH25" i="19" s="1"/>
  <c r="L55" i="19" s="1"/>
  <c r="AR30" i="19"/>
  <c r="AR25" i="19" s="1"/>
  <c r="L63" i="19" s="1"/>
  <c r="AZ30" i="19"/>
  <c r="AZ25" i="19" s="1"/>
  <c r="L71" i="19" s="1"/>
  <c r="C33" i="19"/>
  <c r="Q30" i="19"/>
  <c r="Q25" i="19" s="1"/>
  <c r="L40" i="19" s="1"/>
  <c r="AA30" i="19"/>
  <c r="AA25" i="19" s="1"/>
  <c r="L48" i="19" s="1"/>
  <c r="AI30" i="19"/>
  <c r="AI25" i="19" s="1"/>
  <c r="L56" i="19" s="1"/>
  <c r="AS30" i="19"/>
  <c r="AS25" i="19" s="1"/>
  <c r="L64" i="19" s="1"/>
  <c r="BA30" i="19"/>
  <c r="BA25" i="19" s="1"/>
  <c r="L72" i="19" s="1"/>
  <c r="AG30" i="19"/>
  <c r="AG25" i="19" s="1"/>
  <c r="L54" i="19" s="1"/>
  <c r="AO30" i="19"/>
  <c r="AO25" i="19" s="1"/>
  <c r="L62" i="19" s="1"/>
  <c r="J30" i="19"/>
  <c r="J25" i="19" s="1"/>
  <c r="L33" i="19" s="1"/>
  <c r="R30" i="19"/>
  <c r="R25" i="19" s="1"/>
  <c r="L41" i="19" s="1"/>
  <c r="AB30" i="19"/>
  <c r="AB25" i="19" s="1"/>
  <c r="L49" i="19" s="1"/>
  <c r="AJ30" i="19"/>
  <c r="AJ25" i="19" s="1"/>
  <c r="L57" i="19" s="1"/>
  <c r="AT30" i="19"/>
  <c r="AT25" i="19" s="1"/>
  <c r="L65" i="19" s="1"/>
  <c r="BB30" i="19"/>
  <c r="BB25" i="19" s="1"/>
  <c r="L73" i="19" s="1"/>
  <c r="O30" i="19"/>
  <c r="O25" i="19" s="1"/>
  <c r="L38" i="19" s="1"/>
  <c r="AY30" i="19"/>
  <c r="AY25" i="19" s="1"/>
  <c r="L70" i="19" s="1"/>
  <c r="K30" i="19"/>
  <c r="K25" i="19" s="1"/>
  <c r="L34" i="19" s="1"/>
  <c r="S30" i="19"/>
  <c r="S25" i="19" s="1"/>
  <c r="L42" i="19" s="1"/>
  <c r="AC30" i="19"/>
  <c r="AC25" i="19" s="1"/>
  <c r="L50" i="19" s="1"/>
  <c r="AK30" i="19"/>
  <c r="AK25" i="19" s="1"/>
  <c r="L58" i="19" s="1"/>
  <c r="AU30" i="19"/>
  <c r="AU25" i="19" s="1"/>
  <c r="L66" i="19" s="1"/>
  <c r="BC30" i="19"/>
  <c r="BC25" i="19" s="1"/>
  <c r="L74" i="19" s="1"/>
  <c r="L30" i="19"/>
  <c r="L25" i="19" s="1"/>
  <c r="L35" i="19" s="1"/>
  <c r="T30" i="19"/>
  <c r="T25" i="19" s="1"/>
  <c r="L43" i="19" s="1"/>
  <c r="AD30" i="19"/>
  <c r="AD25" i="19" s="1"/>
  <c r="L51" i="19" s="1"/>
  <c r="AL30" i="19"/>
  <c r="AL25" i="19" s="1"/>
  <c r="L59" i="19" s="1"/>
  <c r="AV30" i="19"/>
  <c r="AV25" i="19" s="1"/>
  <c r="L67" i="19" s="1"/>
  <c r="BD30" i="19"/>
  <c r="BD25" i="19" s="1"/>
  <c r="L75" i="19" s="1"/>
  <c r="M30" i="19"/>
  <c r="M25" i="19" s="1"/>
  <c r="L36" i="19" s="1"/>
  <c r="U30" i="19"/>
  <c r="U25" i="19" s="1"/>
  <c r="L44" i="19" s="1"/>
  <c r="AE30" i="19"/>
  <c r="AE25" i="19" s="1"/>
  <c r="L52" i="19" s="1"/>
  <c r="C24" i="19" s="1" a="1"/>
  <c r="C24" i="19" s="1"/>
  <c r="C32" i="19" s="1"/>
  <c r="AM30" i="19"/>
  <c r="AM25" i="19" s="1"/>
  <c r="L60" i="19" s="1"/>
  <c r="AW30" i="19"/>
  <c r="AW25" i="19" s="1"/>
  <c r="L68" i="19" s="1"/>
  <c r="BE30" i="19"/>
  <c r="BE25" i="19" s="1"/>
  <c r="L76" i="19" s="1"/>
  <c r="W30" i="19"/>
  <c r="W25" i="19" s="1"/>
  <c r="L46" i="19" s="1"/>
  <c r="C26" i="19"/>
  <c r="E45" i="19" s="1"/>
  <c r="F45" i="19" s="1"/>
  <c r="N30" i="19"/>
  <c r="N25" i="19" s="1"/>
  <c r="L37" i="19" s="1"/>
  <c r="V30" i="19"/>
  <c r="V25" i="19" s="1"/>
  <c r="L45" i="19" s="1"/>
  <c r="AF30" i="19"/>
  <c r="AF25" i="19" s="1"/>
  <c r="L53" i="19" s="1"/>
  <c r="AN30" i="19"/>
  <c r="AN25" i="19" s="1"/>
  <c r="L61" i="19" s="1"/>
  <c r="AX30" i="19"/>
  <c r="AX25" i="19" s="1"/>
  <c r="L69" i="19" s="1"/>
  <c r="C25" i="18"/>
  <c r="E45" i="18" s="1"/>
  <c r="F45" i="18" s="1"/>
  <c r="BF25" i="18"/>
  <c r="L77" i="18" s="1"/>
  <c r="O30" i="18"/>
  <c r="O25" i="18" s="1"/>
  <c r="L38" i="18" s="1"/>
  <c r="W30" i="18"/>
  <c r="W25" i="18" s="1"/>
  <c r="L46" i="18" s="1"/>
  <c r="AG30" i="18"/>
  <c r="AG25" i="18" s="1"/>
  <c r="L54" i="18" s="1"/>
  <c r="AO30" i="18"/>
  <c r="AO25" i="18" s="1"/>
  <c r="L62" i="18" s="1"/>
  <c r="AY30" i="18"/>
  <c r="AY25" i="18" s="1"/>
  <c r="L70" i="18" s="1"/>
  <c r="P30" i="18"/>
  <c r="P25" i="18" s="1"/>
  <c r="L39" i="18" s="1"/>
  <c r="X30" i="18"/>
  <c r="X25" i="18" s="1"/>
  <c r="L47" i="18" s="1"/>
  <c r="AH30" i="18"/>
  <c r="AH25" i="18" s="1"/>
  <c r="L55" i="18" s="1"/>
  <c r="AR30" i="18"/>
  <c r="AR25" i="18" s="1"/>
  <c r="L63" i="18" s="1"/>
  <c r="AZ30" i="18"/>
  <c r="AZ25" i="18" s="1"/>
  <c r="L71" i="18" s="1"/>
  <c r="Q30" i="18"/>
  <c r="Q25" i="18" s="1"/>
  <c r="L40" i="18" s="1"/>
  <c r="AA30" i="18"/>
  <c r="AA25" i="18" s="1"/>
  <c r="L48" i="18" s="1"/>
  <c r="AI30" i="18"/>
  <c r="AI25" i="18" s="1"/>
  <c r="L56" i="18" s="1"/>
  <c r="AS30" i="18"/>
  <c r="AS25" i="18" s="1"/>
  <c r="L64" i="18" s="1"/>
  <c r="BA30" i="18"/>
  <c r="BA25" i="18" s="1"/>
  <c r="L72" i="18" s="1"/>
  <c r="C34" i="18"/>
  <c r="R30" i="18"/>
  <c r="R25" i="18" s="1"/>
  <c r="L41" i="18" s="1"/>
  <c r="AT30" i="18"/>
  <c r="AT25" i="18" s="1"/>
  <c r="L65" i="18" s="1"/>
  <c r="K30" i="18"/>
  <c r="K25" i="18" s="1"/>
  <c r="L34" i="18" s="1"/>
  <c r="S30" i="18"/>
  <c r="S25" i="18" s="1"/>
  <c r="L42" i="18" s="1"/>
  <c r="AC30" i="18"/>
  <c r="AC25" i="18" s="1"/>
  <c r="L50" i="18" s="1"/>
  <c r="AK30" i="18"/>
  <c r="AK25" i="18" s="1"/>
  <c r="L58" i="18" s="1"/>
  <c r="AU30" i="18"/>
  <c r="AU25" i="18" s="1"/>
  <c r="L66" i="18" s="1"/>
  <c r="BC30" i="18"/>
  <c r="BC25" i="18" s="1"/>
  <c r="L74" i="18" s="1"/>
  <c r="J30" i="18"/>
  <c r="J25" i="18" s="1"/>
  <c r="L33" i="18" s="1"/>
  <c r="AB30" i="18"/>
  <c r="AB25" i="18" s="1"/>
  <c r="L49" i="18" s="1"/>
  <c r="AJ30" i="18"/>
  <c r="AJ25" i="18" s="1"/>
  <c r="L57" i="18" s="1"/>
  <c r="BB30" i="18"/>
  <c r="BB25" i="18" s="1"/>
  <c r="L73" i="18" s="1"/>
  <c r="L30" i="18"/>
  <c r="L25" i="18" s="1"/>
  <c r="L35" i="18" s="1"/>
  <c r="T30" i="18"/>
  <c r="T25" i="18" s="1"/>
  <c r="L43" i="18" s="1"/>
  <c r="AD30" i="18"/>
  <c r="AD25" i="18" s="1"/>
  <c r="L51" i="18" s="1"/>
  <c r="AL30" i="18"/>
  <c r="AL25" i="18" s="1"/>
  <c r="L59" i="18" s="1"/>
  <c r="AV30" i="18"/>
  <c r="AV25" i="18" s="1"/>
  <c r="L67" i="18" s="1"/>
  <c r="BD30" i="18"/>
  <c r="BD25" i="18" s="1"/>
  <c r="L75" i="18" s="1"/>
  <c r="M30" i="18"/>
  <c r="M25" i="18" s="1"/>
  <c r="L36" i="18" s="1"/>
  <c r="U30" i="18"/>
  <c r="U25" i="18" s="1"/>
  <c r="L44" i="18" s="1"/>
  <c r="AE30" i="18"/>
  <c r="AE25" i="18" s="1"/>
  <c r="L52" i="18" s="1"/>
  <c r="AM30" i="18"/>
  <c r="AM25" i="18" s="1"/>
  <c r="L60" i="18" s="1"/>
  <c r="AW30" i="18"/>
  <c r="AW25" i="18" s="1"/>
  <c r="L68" i="18" s="1"/>
  <c r="BE30" i="18"/>
  <c r="BE25" i="18" s="1"/>
  <c r="L76" i="18" s="1"/>
  <c r="N30" i="18"/>
  <c r="N25" i="18" s="1"/>
  <c r="L37" i="18" s="1"/>
  <c r="V30" i="18"/>
  <c r="V25" i="18" s="1"/>
  <c r="L45" i="18" s="1"/>
  <c r="AF30" i="18"/>
  <c r="AF25" i="18" s="1"/>
  <c r="L53" i="18" s="1"/>
  <c r="AN30" i="18"/>
  <c r="AN25" i="18" s="1"/>
  <c r="L61" i="18" s="1"/>
  <c r="AX30" i="18"/>
  <c r="AX25" i="18" s="1"/>
  <c r="L69" i="18" s="1"/>
  <c r="E44" i="17"/>
  <c r="F44" i="17" s="1"/>
  <c r="CT30" i="17"/>
  <c r="CT25" i="17" s="1"/>
  <c r="M111" i="17" s="1"/>
  <c r="DB30" i="17"/>
  <c r="DB25" i="17" s="1"/>
  <c r="M119" i="17" s="1"/>
  <c r="BL30" i="17"/>
  <c r="BL25" i="17" s="1"/>
  <c r="M81" i="17" s="1"/>
  <c r="CB30" i="17"/>
  <c r="CB25" i="17" s="1"/>
  <c r="M95" i="17" s="1"/>
  <c r="BT30" i="17"/>
  <c r="BT25" i="17" s="1"/>
  <c r="M89" i="17" s="1"/>
  <c r="CJ30" i="17"/>
  <c r="CJ25" i="17" s="1"/>
  <c r="M103" i="17" s="1"/>
  <c r="BM30" i="17"/>
  <c r="BM25" i="17" s="1"/>
  <c r="M82" i="17" s="1"/>
  <c r="BU30" i="17"/>
  <c r="BU25" i="17" s="1"/>
  <c r="M90" i="17" s="1"/>
  <c r="CC30" i="17"/>
  <c r="CC25" i="17" s="1"/>
  <c r="M96" i="17" s="1"/>
  <c r="CK30" i="17"/>
  <c r="CK25" i="17" s="1"/>
  <c r="M104" i="17" s="1"/>
  <c r="CU30" i="17"/>
  <c r="CU25" i="17" s="1"/>
  <c r="M112" i="17" s="1"/>
  <c r="C24" i="17" s="1" a="1"/>
  <c r="C24" i="17" s="1"/>
  <c r="DC30" i="17"/>
  <c r="DC25" i="17" s="1"/>
  <c r="M120" i="17" s="1"/>
  <c r="BN30" i="17"/>
  <c r="BN25" i="17" s="1"/>
  <c r="M83" i="17" s="1"/>
  <c r="BV30" i="17"/>
  <c r="BV25" i="17" s="1"/>
  <c r="M91" i="17" s="1"/>
  <c r="CD30" i="17"/>
  <c r="CD25" i="17" s="1"/>
  <c r="M97" i="17" s="1"/>
  <c r="CL30" i="17"/>
  <c r="CL25" i="17" s="1"/>
  <c r="M105" i="17" s="1"/>
  <c r="CV30" i="17"/>
  <c r="CV25" i="17" s="1"/>
  <c r="M113" i="17" s="1"/>
  <c r="DD30" i="17"/>
  <c r="DD25" i="17" s="1"/>
  <c r="M121" i="17" s="1"/>
  <c r="BO30" i="17"/>
  <c r="BO25" i="17" s="1"/>
  <c r="M84" i="17" s="1"/>
  <c r="BW30" i="17"/>
  <c r="BW25" i="17" s="1"/>
  <c r="M92" i="17" s="1"/>
  <c r="CE30" i="17"/>
  <c r="CE25" i="17" s="1"/>
  <c r="M98" i="17" s="1"/>
  <c r="CM30" i="17"/>
  <c r="CM25" i="17" s="1"/>
  <c r="M106" i="17" s="1"/>
  <c r="CW30" i="17"/>
  <c r="CW25" i="17" s="1"/>
  <c r="M114" i="17" s="1"/>
  <c r="DE30" i="17"/>
  <c r="DE25" i="17" s="1"/>
  <c r="M122" i="17" s="1"/>
  <c r="BP30" i="17"/>
  <c r="BP25" i="17" s="1"/>
  <c r="M85" i="17" s="1"/>
  <c r="CF30" i="17"/>
  <c r="CF25" i="17" s="1"/>
  <c r="M99" i="17" s="1"/>
  <c r="CN30" i="17"/>
  <c r="CN25" i="17" s="1"/>
  <c r="M107" i="17" s="1"/>
  <c r="CX30" i="17"/>
  <c r="CX25" i="17" s="1"/>
  <c r="M115" i="17" s="1"/>
  <c r="BI30" i="17"/>
  <c r="BI25" i="17" s="1"/>
  <c r="M78" i="17" s="1"/>
  <c r="BQ30" i="17"/>
  <c r="BQ25" i="17" s="1"/>
  <c r="M86" i="17" s="1"/>
  <c r="CG30" i="17"/>
  <c r="CG25" i="17" s="1"/>
  <c r="M100" i="17" s="1"/>
  <c r="CQ30" i="17"/>
  <c r="CQ25" i="17" s="1"/>
  <c r="M108" i="17" s="1"/>
  <c r="CY30" i="17"/>
  <c r="CY25" i="17" s="1"/>
  <c r="M116" i="17" s="1"/>
  <c r="BJ30" i="17"/>
  <c r="BJ25" i="17" s="1"/>
  <c r="M79" i="17" s="1"/>
  <c r="BR30" i="17"/>
  <c r="BR25" i="17" s="1"/>
  <c r="M87" i="17" s="1"/>
  <c r="BZ30" i="17"/>
  <c r="BZ25" i="17" s="1"/>
  <c r="M93" i="17" s="1"/>
  <c r="CH30" i="17"/>
  <c r="CH25" i="17" s="1"/>
  <c r="M101" i="17" s="1"/>
  <c r="CR30" i="17"/>
  <c r="CR25" i="17" s="1"/>
  <c r="M109" i="17" s="1"/>
  <c r="CZ30" i="17"/>
  <c r="CZ25" i="17" s="1"/>
  <c r="M117" i="17" s="1"/>
  <c r="BK30" i="17"/>
  <c r="BK25" i="17" s="1"/>
  <c r="M80" i="17" s="1"/>
  <c r="BS30" i="17"/>
  <c r="BS25" i="17" s="1"/>
  <c r="M88" i="17" s="1"/>
  <c r="CA30" i="17"/>
  <c r="CA25" i="17" s="1"/>
  <c r="M94" i="17" s="1"/>
  <c r="CI30" i="17"/>
  <c r="CI25" i="17" s="1"/>
  <c r="M102" i="17" s="1"/>
  <c r="CS30" i="17"/>
  <c r="CS25" i="17" s="1"/>
  <c r="M110" i="17" s="1"/>
  <c r="DA30" i="17"/>
  <c r="DA25" i="17" s="1"/>
  <c r="M118" i="17" s="1"/>
  <c r="BE25" i="17"/>
  <c r="M76" i="17" s="1"/>
  <c r="N30" i="17"/>
  <c r="N25" i="17" s="1"/>
  <c r="M37" i="17" s="1"/>
  <c r="V30" i="17"/>
  <c r="V25" i="17" s="1"/>
  <c r="M45" i="17" s="1"/>
  <c r="AF30" i="17"/>
  <c r="AF25" i="17" s="1"/>
  <c r="M53" i="17" s="1"/>
  <c r="AN30" i="17"/>
  <c r="AN25" i="17" s="1"/>
  <c r="M61" i="17" s="1"/>
  <c r="AX30" i="17"/>
  <c r="AX25" i="17" s="1"/>
  <c r="M69" i="17" s="1"/>
  <c r="BF30" i="17"/>
  <c r="BF25" i="17" s="1"/>
  <c r="M77" i="17" s="1"/>
  <c r="O30" i="17"/>
  <c r="O25" i="17" s="1"/>
  <c r="M38" i="17" s="1"/>
  <c r="W30" i="17"/>
  <c r="W25" i="17" s="1"/>
  <c r="M46" i="17" s="1"/>
  <c r="AG30" i="17"/>
  <c r="AG25" i="17" s="1"/>
  <c r="M54" i="17" s="1"/>
  <c r="AO30" i="17"/>
  <c r="AO25" i="17" s="1"/>
  <c r="M62" i="17" s="1"/>
  <c r="AY30" i="17"/>
  <c r="AY25" i="17" s="1"/>
  <c r="M70" i="17" s="1"/>
  <c r="P30" i="17"/>
  <c r="P25" i="17" s="1"/>
  <c r="M39" i="17" s="1"/>
  <c r="X30" i="17"/>
  <c r="X25" i="17" s="1"/>
  <c r="M47" i="17" s="1"/>
  <c r="AH30" i="17"/>
  <c r="AH25" i="17" s="1"/>
  <c r="M55" i="17" s="1"/>
  <c r="AR30" i="17"/>
  <c r="AR25" i="17" s="1"/>
  <c r="M63" i="17" s="1"/>
  <c r="AZ30" i="17"/>
  <c r="AZ25" i="17" s="1"/>
  <c r="M71" i="17" s="1"/>
  <c r="Q30" i="17"/>
  <c r="Q25" i="17" s="1"/>
  <c r="M40" i="17" s="1"/>
  <c r="AA30" i="17"/>
  <c r="AA25" i="17" s="1"/>
  <c r="M48" i="17" s="1"/>
  <c r="AI30" i="17"/>
  <c r="AI25" i="17" s="1"/>
  <c r="M56" i="17" s="1"/>
  <c r="AS30" i="17"/>
  <c r="AS25" i="17" s="1"/>
  <c r="M64" i="17" s="1"/>
  <c r="BA30" i="17"/>
  <c r="BA25" i="17" s="1"/>
  <c r="M72" i="17" s="1"/>
  <c r="J30" i="17"/>
  <c r="J25" i="17" s="1"/>
  <c r="M33" i="17" s="1"/>
  <c r="R30" i="17"/>
  <c r="R25" i="17" s="1"/>
  <c r="M41" i="17" s="1"/>
  <c r="AB30" i="17"/>
  <c r="AB25" i="17" s="1"/>
  <c r="M49" i="17" s="1"/>
  <c r="AJ30" i="17"/>
  <c r="AJ25" i="17" s="1"/>
  <c r="M57" i="17" s="1"/>
  <c r="AT30" i="17"/>
  <c r="AT25" i="17" s="1"/>
  <c r="M65" i="17" s="1"/>
  <c r="BB30" i="17"/>
  <c r="BB25" i="17" s="1"/>
  <c r="M73" i="17" s="1"/>
  <c r="K30" i="17"/>
  <c r="K25" i="17" s="1"/>
  <c r="M34" i="17" s="1"/>
  <c r="S30" i="17"/>
  <c r="S25" i="17" s="1"/>
  <c r="M42" i="17" s="1"/>
  <c r="AC30" i="17"/>
  <c r="AC25" i="17" s="1"/>
  <c r="M50" i="17" s="1"/>
  <c r="AK30" i="17"/>
  <c r="AK25" i="17" s="1"/>
  <c r="M58" i="17" s="1"/>
  <c r="AU30" i="17"/>
  <c r="AU25" i="17" s="1"/>
  <c r="M66" i="17" s="1"/>
  <c r="BC30" i="17"/>
  <c r="BC25" i="17" s="1"/>
  <c r="M74" i="17" s="1"/>
  <c r="L30" i="17"/>
  <c r="L25" i="17" s="1"/>
  <c r="M35" i="17" s="1"/>
  <c r="T30" i="17"/>
  <c r="T25" i="17" s="1"/>
  <c r="M43" i="17" s="1"/>
  <c r="AD30" i="17"/>
  <c r="AD25" i="17" s="1"/>
  <c r="M51" i="17" s="1"/>
  <c r="AL30" i="17"/>
  <c r="AL25" i="17" s="1"/>
  <c r="M59" i="17" s="1"/>
  <c r="AV30" i="17"/>
  <c r="AV25" i="17" s="1"/>
  <c r="M67" i="17" s="1"/>
  <c r="BD30" i="17"/>
  <c r="BD25" i="17" s="1"/>
  <c r="M75" i="17" s="1"/>
  <c r="M30" i="17"/>
  <c r="M25" i="17" s="1"/>
  <c r="M36" i="17" s="1"/>
  <c r="U30" i="17"/>
  <c r="U25" i="17" s="1"/>
  <c r="M44" i="17" s="1"/>
  <c r="AE30" i="17"/>
  <c r="AE25" i="17" s="1"/>
  <c r="M52" i="17" s="1"/>
  <c r="AM30" i="17"/>
  <c r="AM25" i="17" s="1"/>
  <c r="M60" i="17" s="1"/>
  <c r="AW30" i="17"/>
  <c r="AW25" i="17" s="1"/>
  <c r="M68" i="17" s="1"/>
  <c r="BF29" i="16"/>
  <c r="BE29" i="16"/>
  <c r="BD29" i="16"/>
  <c r="BC29" i="16"/>
  <c r="BB29" i="16"/>
  <c r="BA29" i="16"/>
  <c r="AZ29" i="16"/>
  <c r="AY29" i="16"/>
  <c r="AX29" i="16"/>
  <c r="AW29" i="16"/>
  <c r="AV29" i="16"/>
  <c r="AU29" i="16"/>
  <c r="AT29" i="16"/>
  <c r="AS29" i="16"/>
  <c r="AR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 a="1"/>
  <c r="J28" i="16" s="1"/>
  <c r="BF27" i="16"/>
  <c r="BE27" i="16"/>
  <c r="BD27" i="16"/>
  <c r="BC27" i="16"/>
  <c r="BB27" i="16"/>
  <c r="BA27" i="16"/>
  <c r="AZ27" i="16"/>
  <c r="AY27" i="16"/>
  <c r="AX27" i="16"/>
  <c r="AW27" i="16"/>
  <c r="AV27" i="16"/>
  <c r="AU27" i="16"/>
  <c r="AT27" i="16"/>
  <c r="AS27" i="16"/>
  <c r="AR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 a="1"/>
  <c r="J27" i="16" s="1"/>
  <c r="BF26" i="16"/>
  <c r="BE26" i="16"/>
  <c r="BD26" i="16"/>
  <c r="BC26" i="16"/>
  <c r="BB26" i="16"/>
  <c r="BA26" i="16"/>
  <c r="AZ26" i="16"/>
  <c r="AY26" i="16"/>
  <c r="AX26" i="16"/>
  <c r="AW26" i="16"/>
  <c r="AV26" i="16"/>
  <c r="AU26" i="16"/>
  <c r="AT26" i="16"/>
  <c r="AS26" i="16"/>
  <c r="AR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C23" i="16"/>
  <c r="C22" i="16"/>
  <c r="E21" i="16"/>
  <c r="C26" i="16" s="1"/>
  <c r="C16" i="16"/>
  <c r="BF30" i="16" s="1"/>
  <c r="C13" i="16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 a="1"/>
  <c r="J28" i="15" s="1"/>
  <c r="BF27" i="15"/>
  <c r="BE27" i="15"/>
  <c r="BD27" i="15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 a="1"/>
  <c r="J27" i="15" s="1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O26" i="15"/>
  <c r="AN26" i="15"/>
  <c r="AM26" i="15"/>
  <c r="AL26" i="15"/>
  <c r="AK26" i="15"/>
  <c r="AJ26" i="15"/>
  <c r="AI26" i="15"/>
  <c r="AH26" i="15"/>
  <c r="AG26" i="15"/>
  <c r="AF26" i="15"/>
  <c r="AE26" i="15"/>
  <c r="AD26" i="15"/>
  <c r="AC26" i="15"/>
  <c r="AB26" i="15"/>
  <c r="AA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C23" i="15"/>
  <c r="C22" i="15"/>
  <c r="E21" i="15"/>
  <c r="C25" i="15" s="1"/>
  <c r="C16" i="15"/>
  <c r="BE30" i="15" s="1"/>
  <c r="C13" i="15"/>
  <c r="C24" i="23" l="1" a="1"/>
  <c r="C24" i="23" s="1"/>
  <c r="C24" i="18" a="1"/>
  <c r="C24" i="18" s="1"/>
  <c r="C32" i="18" s="1"/>
  <c r="C24" i="20" a="1"/>
  <c r="C24" i="20" s="1"/>
  <c r="C32" i="20" s="1"/>
  <c r="BF25" i="16"/>
  <c r="L77" i="16" s="1"/>
  <c r="M40" i="24"/>
  <c r="M87" i="24"/>
  <c r="M36" i="24"/>
  <c r="M90" i="24"/>
  <c r="M38" i="24"/>
  <c r="M88" i="24"/>
  <c r="M84" i="24"/>
  <c r="M86" i="24"/>
  <c r="M37" i="24"/>
  <c r="M89" i="24"/>
  <c r="M39" i="24"/>
  <c r="M85" i="24"/>
  <c r="E45" i="24"/>
  <c r="F45" i="24" s="1"/>
  <c r="E44" i="23"/>
  <c r="F44" i="23" s="1"/>
  <c r="E44" i="22"/>
  <c r="F44" i="22" s="1"/>
  <c r="E44" i="21"/>
  <c r="F44" i="21" s="1"/>
  <c r="E45" i="20"/>
  <c r="F45" i="20" s="1"/>
  <c r="E44" i="19"/>
  <c r="F44" i="19" s="1"/>
  <c r="C34" i="16"/>
  <c r="E44" i="24"/>
  <c r="F44" i="24" s="1"/>
  <c r="E38" i="23"/>
  <c r="C32" i="23"/>
  <c r="C32" i="22"/>
  <c r="E38" i="22"/>
  <c r="E38" i="21"/>
  <c r="E38" i="20"/>
  <c r="E38" i="19"/>
  <c r="E44" i="18"/>
  <c r="F44" i="18" s="1"/>
  <c r="C32" i="17"/>
  <c r="E38" i="17"/>
  <c r="C40" i="17" s="1"/>
  <c r="P30" i="16"/>
  <c r="P25" i="16" s="1"/>
  <c r="L39" i="16" s="1"/>
  <c r="X30" i="16"/>
  <c r="X25" i="16" s="1"/>
  <c r="L47" i="16" s="1"/>
  <c r="AH30" i="16"/>
  <c r="AH25" i="16" s="1"/>
  <c r="L55" i="16" s="1"/>
  <c r="AR30" i="16"/>
  <c r="AR25" i="16" s="1"/>
  <c r="L63" i="16" s="1"/>
  <c r="AZ30" i="16"/>
  <c r="AZ25" i="16" s="1"/>
  <c r="L71" i="16" s="1"/>
  <c r="C33" i="16"/>
  <c r="Q30" i="16"/>
  <c r="Q25" i="16" s="1"/>
  <c r="L40" i="16" s="1"/>
  <c r="AA30" i="16"/>
  <c r="AA25" i="16" s="1"/>
  <c r="L48" i="16" s="1"/>
  <c r="AI30" i="16"/>
  <c r="AI25" i="16" s="1"/>
  <c r="L56" i="16" s="1"/>
  <c r="AS30" i="16"/>
  <c r="AS25" i="16" s="1"/>
  <c r="L64" i="16" s="1"/>
  <c r="BA30" i="16"/>
  <c r="BA25" i="16" s="1"/>
  <c r="L72" i="16" s="1"/>
  <c r="J30" i="16"/>
  <c r="J25" i="16" s="1"/>
  <c r="L33" i="16" s="1"/>
  <c r="R30" i="16"/>
  <c r="R25" i="16" s="1"/>
  <c r="L41" i="16" s="1"/>
  <c r="AB30" i="16"/>
  <c r="AB25" i="16" s="1"/>
  <c r="L49" i="16" s="1"/>
  <c r="AJ30" i="16"/>
  <c r="AJ25" i="16" s="1"/>
  <c r="L57" i="16" s="1"/>
  <c r="AT30" i="16"/>
  <c r="AT25" i="16" s="1"/>
  <c r="L65" i="16" s="1"/>
  <c r="BB30" i="16"/>
  <c r="BB25" i="16" s="1"/>
  <c r="L73" i="16" s="1"/>
  <c r="K30" i="16"/>
  <c r="K25" i="16" s="1"/>
  <c r="L34" i="16" s="1"/>
  <c r="S30" i="16"/>
  <c r="S25" i="16" s="1"/>
  <c r="L42" i="16" s="1"/>
  <c r="AC30" i="16"/>
  <c r="AC25" i="16" s="1"/>
  <c r="L50" i="16" s="1"/>
  <c r="AK30" i="16"/>
  <c r="AK25" i="16" s="1"/>
  <c r="L58" i="16" s="1"/>
  <c r="AU30" i="16"/>
  <c r="AU25" i="16" s="1"/>
  <c r="L66" i="16" s="1"/>
  <c r="BC30" i="16"/>
  <c r="BC25" i="16" s="1"/>
  <c r="L74" i="16" s="1"/>
  <c r="AG30" i="16"/>
  <c r="AG25" i="16" s="1"/>
  <c r="L54" i="16" s="1"/>
  <c r="AY30" i="16"/>
  <c r="AY25" i="16" s="1"/>
  <c r="L70" i="16" s="1"/>
  <c r="L30" i="16"/>
  <c r="L25" i="16" s="1"/>
  <c r="L35" i="16" s="1"/>
  <c r="T30" i="16"/>
  <c r="T25" i="16" s="1"/>
  <c r="L43" i="16" s="1"/>
  <c r="AD30" i="16"/>
  <c r="AD25" i="16" s="1"/>
  <c r="L51" i="16" s="1"/>
  <c r="AL30" i="16"/>
  <c r="AL25" i="16" s="1"/>
  <c r="L59" i="16" s="1"/>
  <c r="AV30" i="16"/>
  <c r="AV25" i="16" s="1"/>
  <c r="L67" i="16" s="1"/>
  <c r="BD30" i="16"/>
  <c r="BD25" i="16" s="1"/>
  <c r="L75" i="16" s="1"/>
  <c r="W30" i="16"/>
  <c r="W25" i="16" s="1"/>
  <c r="L46" i="16" s="1"/>
  <c r="AO30" i="16"/>
  <c r="AO25" i="16" s="1"/>
  <c r="L62" i="16" s="1"/>
  <c r="C25" i="16"/>
  <c r="E44" i="16" s="1"/>
  <c r="F44" i="16" s="1"/>
  <c r="M30" i="16"/>
  <c r="M25" i="16" s="1"/>
  <c r="L36" i="16" s="1"/>
  <c r="U30" i="16"/>
  <c r="U25" i="16" s="1"/>
  <c r="L44" i="16" s="1"/>
  <c r="AE30" i="16"/>
  <c r="AE25" i="16" s="1"/>
  <c r="L52" i="16" s="1"/>
  <c r="AM30" i="16"/>
  <c r="AM25" i="16" s="1"/>
  <c r="L60" i="16" s="1"/>
  <c r="AW30" i="16"/>
  <c r="AW25" i="16" s="1"/>
  <c r="L68" i="16" s="1"/>
  <c r="BE30" i="16"/>
  <c r="BE25" i="16" s="1"/>
  <c r="L76" i="16" s="1"/>
  <c r="O30" i="16"/>
  <c r="O25" i="16" s="1"/>
  <c r="L38" i="16" s="1"/>
  <c r="N30" i="16"/>
  <c r="N25" i="16" s="1"/>
  <c r="L37" i="16" s="1"/>
  <c r="V30" i="16"/>
  <c r="V25" i="16" s="1"/>
  <c r="L45" i="16" s="1"/>
  <c r="AF30" i="16"/>
  <c r="AF25" i="16" s="1"/>
  <c r="L53" i="16" s="1"/>
  <c r="AN30" i="16"/>
  <c r="AN25" i="16" s="1"/>
  <c r="L61" i="16" s="1"/>
  <c r="AX30" i="16"/>
  <c r="AX25" i="16" s="1"/>
  <c r="L69" i="16" s="1"/>
  <c r="BE25" i="15"/>
  <c r="L76" i="15" s="1"/>
  <c r="V30" i="15"/>
  <c r="V25" i="15" s="1"/>
  <c r="L45" i="15" s="1"/>
  <c r="N30" i="15"/>
  <c r="N25" i="15" s="1"/>
  <c r="L37" i="15" s="1"/>
  <c r="C34" i="15"/>
  <c r="AF30" i="15"/>
  <c r="AF25" i="15" s="1"/>
  <c r="L53" i="15" s="1"/>
  <c r="AN30" i="15"/>
  <c r="AN25" i="15" s="1"/>
  <c r="L61" i="15" s="1"/>
  <c r="AX30" i="15"/>
  <c r="AX25" i="15" s="1"/>
  <c r="L69" i="15" s="1"/>
  <c r="BF30" i="15"/>
  <c r="BF25" i="15" s="1"/>
  <c r="L77" i="15" s="1"/>
  <c r="O30" i="15"/>
  <c r="O25" i="15" s="1"/>
  <c r="L38" i="15" s="1"/>
  <c r="W30" i="15"/>
  <c r="W25" i="15" s="1"/>
  <c r="L46" i="15" s="1"/>
  <c r="AG30" i="15"/>
  <c r="AG25" i="15" s="1"/>
  <c r="L54" i="15" s="1"/>
  <c r="AO30" i="15"/>
  <c r="AO25" i="15" s="1"/>
  <c r="L62" i="15" s="1"/>
  <c r="AY30" i="15"/>
  <c r="AY25" i="15" s="1"/>
  <c r="L70" i="15" s="1"/>
  <c r="P30" i="15"/>
  <c r="P25" i="15" s="1"/>
  <c r="L39" i="15" s="1"/>
  <c r="X30" i="15"/>
  <c r="X25" i="15" s="1"/>
  <c r="L47" i="15" s="1"/>
  <c r="AH30" i="15"/>
  <c r="AH25" i="15" s="1"/>
  <c r="L55" i="15" s="1"/>
  <c r="AR30" i="15"/>
  <c r="AR25" i="15" s="1"/>
  <c r="L63" i="15" s="1"/>
  <c r="AZ30" i="15"/>
  <c r="AZ25" i="15" s="1"/>
  <c r="L71" i="15" s="1"/>
  <c r="C33" i="15"/>
  <c r="Q30" i="15"/>
  <c r="Q25" i="15" s="1"/>
  <c r="L40" i="15" s="1"/>
  <c r="AA30" i="15"/>
  <c r="AA25" i="15" s="1"/>
  <c r="L48" i="15" s="1"/>
  <c r="AI30" i="15"/>
  <c r="AI25" i="15" s="1"/>
  <c r="L56" i="15" s="1"/>
  <c r="AS30" i="15"/>
  <c r="AS25" i="15" s="1"/>
  <c r="L64" i="15" s="1"/>
  <c r="BA30" i="15"/>
  <c r="BA25" i="15" s="1"/>
  <c r="L72" i="15" s="1"/>
  <c r="J30" i="15"/>
  <c r="J25" i="15" s="1"/>
  <c r="L33" i="15" s="1"/>
  <c r="R30" i="15"/>
  <c r="R25" i="15" s="1"/>
  <c r="L41" i="15" s="1"/>
  <c r="AB30" i="15"/>
  <c r="AB25" i="15" s="1"/>
  <c r="L49" i="15" s="1"/>
  <c r="AJ30" i="15"/>
  <c r="AJ25" i="15" s="1"/>
  <c r="L57" i="15" s="1"/>
  <c r="AT30" i="15"/>
  <c r="AT25" i="15" s="1"/>
  <c r="L65" i="15" s="1"/>
  <c r="BB30" i="15"/>
  <c r="BB25" i="15" s="1"/>
  <c r="L73" i="15" s="1"/>
  <c r="C26" i="15"/>
  <c r="E45" i="15" s="1"/>
  <c r="F45" i="15" s="1"/>
  <c r="K30" i="15"/>
  <c r="K25" i="15" s="1"/>
  <c r="L34" i="15" s="1"/>
  <c r="S30" i="15"/>
  <c r="S25" i="15" s="1"/>
  <c r="L42" i="15" s="1"/>
  <c r="AC30" i="15"/>
  <c r="AC25" i="15" s="1"/>
  <c r="L50" i="15" s="1"/>
  <c r="AK30" i="15"/>
  <c r="AK25" i="15" s="1"/>
  <c r="L58" i="15" s="1"/>
  <c r="AU30" i="15"/>
  <c r="AU25" i="15" s="1"/>
  <c r="L66" i="15" s="1"/>
  <c r="BC30" i="15"/>
  <c r="BC25" i="15" s="1"/>
  <c r="L74" i="15" s="1"/>
  <c r="L30" i="15"/>
  <c r="L25" i="15" s="1"/>
  <c r="L35" i="15" s="1"/>
  <c r="T30" i="15"/>
  <c r="T25" i="15" s="1"/>
  <c r="L43" i="15" s="1"/>
  <c r="AD30" i="15"/>
  <c r="AD25" i="15" s="1"/>
  <c r="L51" i="15" s="1"/>
  <c r="AL30" i="15"/>
  <c r="AL25" i="15" s="1"/>
  <c r="L59" i="15" s="1"/>
  <c r="AV30" i="15"/>
  <c r="AV25" i="15" s="1"/>
  <c r="L67" i="15" s="1"/>
  <c r="BD30" i="15"/>
  <c r="BD25" i="15" s="1"/>
  <c r="L75" i="15" s="1"/>
  <c r="M30" i="15"/>
  <c r="M25" i="15" s="1"/>
  <c r="L36" i="15" s="1"/>
  <c r="U30" i="15"/>
  <c r="U25" i="15" s="1"/>
  <c r="L44" i="15" s="1"/>
  <c r="AE30" i="15"/>
  <c r="AE25" i="15" s="1"/>
  <c r="L52" i="15" s="1"/>
  <c r="AM30" i="15"/>
  <c r="AM25" i="15" s="1"/>
  <c r="L60" i="15" s="1"/>
  <c r="AW30" i="15"/>
  <c r="AW25" i="15" s="1"/>
  <c r="L68" i="15" s="1"/>
  <c r="E38" i="18" l="1"/>
  <c r="C40" i="18" s="1"/>
  <c r="E39" i="17"/>
  <c r="E45" i="16"/>
  <c r="F45" i="16" s="1"/>
  <c r="E44" i="15"/>
  <c r="F44" i="15" s="1"/>
  <c r="C40" i="23"/>
  <c r="E40" i="23" s="1"/>
  <c r="C40" i="22"/>
  <c r="E40" i="22" s="1"/>
  <c r="C40" i="21"/>
  <c r="C40" i="20"/>
  <c r="C40" i="19"/>
  <c r="C45" i="17"/>
  <c r="C47" i="17" s="1"/>
  <c r="E40" i="17"/>
  <c r="C24" i="16" a="1"/>
  <c r="C24" i="16" s="1"/>
  <c r="C32" i="16" s="1"/>
  <c r="C24" i="15" a="1"/>
  <c r="C24" i="15" s="1"/>
  <c r="E38" i="15" s="1"/>
  <c r="C40" i="15" s="1"/>
  <c r="C45" i="23" l="1"/>
  <c r="E39" i="23"/>
  <c r="E41" i="23" s="1"/>
  <c r="C39" i="23" s="1"/>
  <c r="C47" i="23"/>
  <c r="E39" i="22"/>
  <c r="E41" i="22" s="1"/>
  <c r="C39" i="22" s="1"/>
  <c r="C47" i="22"/>
  <c r="C45" i="22"/>
  <c r="E39" i="21"/>
  <c r="C47" i="21"/>
  <c r="C45" i="21"/>
  <c r="E40" i="21"/>
  <c r="E39" i="20"/>
  <c r="C47" i="20"/>
  <c r="C45" i="20"/>
  <c r="E40" i="20"/>
  <c r="E41" i="20" s="1"/>
  <c r="C39" i="20" s="1"/>
  <c r="C45" i="19"/>
  <c r="C47" i="19"/>
  <c r="E39" i="19"/>
  <c r="E40" i="19"/>
  <c r="E39" i="18"/>
  <c r="C47" i="18"/>
  <c r="E40" i="18"/>
  <c r="C45" i="18"/>
  <c r="E41" i="17"/>
  <c r="C39" i="17" s="1"/>
  <c r="C41" i="17" s="1"/>
  <c r="C48" i="17" s="1"/>
  <c r="C49" i="17" s="1"/>
  <c r="E38" i="16"/>
  <c r="C40" i="16" s="1"/>
  <c r="C47" i="16" s="1"/>
  <c r="E39" i="15"/>
  <c r="E40" i="15"/>
  <c r="C45" i="15"/>
  <c r="C47" i="15" s="1"/>
  <c r="C32" i="15"/>
  <c r="C44" i="23" l="1"/>
  <c r="C46" i="23"/>
  <c r="C41" i="23"/>
  <c r="C48" i="23" s="1"/>
  <c r="C49" i="23" s="1"/>
  <c r="C44" i="22"/>
  <c r="C46" i="22"/>
  <c r="C41" i="22"/>
  <c r="E41" i="21"/>
  <c r="C39" i="21" s="1"/>
  <c r="C44" i="21" s="1"/>
  <c r="C44" i="20"/>
  <c r="C46" i="20"/>
  <c r="C41" i="20"/>
  <c r="E41" i="19"/>
  <c r="C39" i="19" s="1"/>
  <c r="C46" i="19" s="1"/>
  <c r="E41" i="18"/>
  <c r="C39" i="18" s="1"/>
  <c r="C44" i="18" s="1"/>
  <c r="C42" i="17"/>
  <c r="C44" i="17"/>
  <c r="C46" i="17" s="1"/>
  <c r="E39" i="16"/>
  <c r="C45" i="16"/>
  <c r="E40" i="16"/>
  <c r="E41" i="16" s="1"/>
  <c r="C39" i="16" s="1"/>
  <c r="C46" i="16" s="1"/>
  <c r="E41" i="15"/>
  <c r="C39" i="15" s="1"/>
  <c r="C41" i="18" l="1"/>
  <c r="C46" i="18"/>
  <c r="C41" i="19"/>
  <c r="C48" i="19" s="1"/>
  <c r="C49" i="19" s="1"/>
  <c r="C42" i="23"/>
  <c r="C48" i="22"/>
  <c r="C49" i="22" s="1"/>
  <c r="C42" i="22"/>
  <c r="C41" i="21"/>
  <c r="C48" i="21" s="1"/>
  <c r="C49" i="21" s="1"/>
  <c r="C46" i="21"/>
  <c r="C42" i="20"/>
  <c r="C48" i="20"/>
  <c r="C49" i="20" s="1"/>
  <c r="C42" i="19"/>
  <c r="C44" i="19"/>
  <c r="C48" i="18"/>
  <c r="C49" i="18" s="1"/>
  <c r="C42" i="18"/>
  <c r="C44" i="16"/>
  <c r="C41" i="16"/>
  <c r="C48" i="16" s="1"/>
  <c r="C49" i="16" s="1"/>
  <c r="C44" i="15"/>
  <c r="C46" i="15" s="1"/>
  <c r="C41" i="15"/>
  <c r="E21" i="14"/>
  <c r="C25" i="14" s="1"/>
  <c r="CQ27" i="14"/>
  <c r="CN26" i="14"/>
  <c r="CL27" i="14"/>
  <c r="CE28" i="14"/>
  <c r="BZ27" i="14"/>
  <c r="BW28" i="14"/>
  <c r="BM28" i="14"/>
  <c r="BI27" i="14"/>
  <c r="BF27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N28" i="14"/>
  <c r="CM28" i="14"/>
  <c r="CL28" i="14"/>
  <c r="CK28" i="14"/>
  <c r="CJ28" i="14"/>
  <c r="CI28" i="14"/>
  <c r="CH28" i="14"/>
  <c r="CG28" i="14"/>
  <c r="CF28" i="14"/>
  <c r="CD28" i="14"/>
  <c r="CC28" i="14"/>
  <c r="CB28" i="14"/>
  <c r="CA28" i="14"/>
  <c r="BZ28" i="14"/>
  <c r="BV28" i="14"/>
  <c r="BU28" i="14"/>
  <c r="BT28" i="14"/>
  <c r="BS28" i="14"/>
  <c r="BR28" i="14"/>
  <c r="BQ28" i="14"/>
  <c r="BP28" i="14"/>
  <c r="BO28" i="14"/>
  <c r="BN28" i="14"/>
  <c r="BL28" i="14"/>
  <c r="BK28" i="14"/>
  <c r="BJ28" i="14"/>
  <c r="BI28" i="14" a="1"/>
  <c r="BI28" i="14" s="1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N27" i="14"/>
  <c r="CM27" i="14"/>
  <c r="CK27" i="14"/>
  <c r="CJ27" i="14"/>
  <c r="CI27" i="14"/>
  <c r="CH27" i="14"/>
  <c r="CG27" i="14"/>
  <c r="CF27" i="14"/>
  <c r="CE27" i="14"/>
  <c r="CD27" i="14"/>
  <c r="CC27" i="14"/>
  <c r="CB27" i="14"/>
  <c r="CA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DE26" i="14"/>
  <c r="DD26" i="14"/>
  <c r="DC26" i="14"/>
  <c r="DB26" i="14"/>
  <c r="DA26" i="14"/>
  <c r="CZ26" i="14"/>
  <c r="CY26" i="14"/>
  <c r="CX26" i="14"/>
  <c r="CW26" i="14"/>
  <c r="CV26" i="14"/>
  <c r="CU26" i="14"/>
  <c r="CT26" i="14"/>
  <c r="CS26" i="14"/>
  <c r="CR26" i="14"/>
  <c r="CQ26" i="14"/>
  <c r="CM26" i="14"/>
  <c r="CL26" i="14"/>
  <c r="CK26" i="14"/>
  <c r="CJ26" i="14"/>
  <c r="CI26" i="14"/>
  <c r="CH26" i="14"/>
  <c r="CG26" i="14"/>
  <c r="CF26" i="14"/>
  <c r="CE26" i="14"/>
  <c r="CD26" i="14"/>
  <c r="CC26" i="14"/>
  <c r="CB26" i="14"/>
  <c r="CA26" i="14"/>
  <c r="BZ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 a="1"/>
  <c r="J28" i="14" s="1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 a="1"/>
  <c r="J27" i="14" s="1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C23" i="14"/>
  <c r="C22" i="14"/>
  <c r="C16" i="14"/>
  <c r="BF30" i="14" s="1"/>
  <c r="C13" i="14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 a="1"/>
  <c r="J28" i="13" s="1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 a="1"/>
  <c r="J27" i="13" s="1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C23" i="13"/>
  <c r="C22" i="13"/>
  <c r="E21" i="13"/>
  <c r="C26" i="13" s="1"/>
  <c r="C16" i="13"/>
  <c r="BA30" i="13" s="1"/>
  <c r="C13" i="13"/>
  <c r="E21" i="12"/>
  <c r="C25" i="12" s="1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 a="1"/>
  <c r="J28" i="12" s="1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 a="1"/>
  <c r="J27" i="12" s="1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C23" i="12"/>
  <c r="C22" i="12"/>
  <c r="C16" i="12"/>
  <c r="BF30" i="12" s="1"/>
  <c r="C13" i="12"/>
  <c r="E21" i="11"/>
  <c r="C26" i="11" s="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 a="1"/>
  <c r="J28" i="11" s="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 a="1"/>
  <c r="J27" i="11" s="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C23" i="11"/>
  <c r="C22" i="11"/>
  <c r="C16" i="11"/>
  <c r="BA30" i="11" s="1"/>
  <c r="C13" i="11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 a="1"/>
  <c r="J28" i="10" s="1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 a="1"/>
  <c r="J27" i="10" s="1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C23" i="10"/>
  <c r="C22" i="10"/>
  <c r="E21" i="10"/>
  <c r="C26" i="10" s="1"/>
  <c r="C16" i="10"/>
  <c r="BF30" i="10" s="1"/>
  <c r="C13" i="10"/>
  <c r="E21" i="9"/>
  <c r="C26" i="9" s="1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 a="1"/>
  <c r="J28" i="9" s="1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 a="1"/>
  <c r="J27" i="9" s="1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C23" i="9"/>
  <c r="C22" i="9"/>
  <c r="C16" i="9"/>
  <c r="BA30" i="9" s="1"/>
  <c r="C13" i="9"/>
  <c r="C42" i="21" l="1"/>
  <c r="C42" i="16"/>
  <c r="C42" i="15"/>
  <c r="C48" i="15"/>
  <c r="C49" i="15" s="1"/>
  <c r="BF25" i="12"/>
  <c r="L77" i="12" s="1"/>
  <c r="C34" i="12"/>
  <c r="BL30" i="14"/>
  <c r="BL25" i="14" s="1"/>
  <c r="L81" i="14" s="1"/>
  <c r="BT30" i="14"/>
  <c r="BT25" i="14" s="1"/>
  <c r="L89" i="14" s="1"/>
  <c r="CD30" i="14"/>
  <c r="CD25" i="14" s="1"/>
  <c r="L97" i="14" s="1"/>
  <c r="CL30" i="14"/>
  <c r="CL25" i="14" s="1"/>
  <c r="L105" i="14" s="1"/>
  <c r="CV30" i="14"/>
  <c r="CV25" i="14" s="1"/>
  <c r="L113" i="14" s="1"/>
  <c r="DD30" i="14"/>
  <c r="DD25" i="14" s="1"/>
  <c r="L121" i="14" s="1"/>
  <c r="BM30" i="14"/>
  <c r="BM25" i="14" s="1"/>
  <c r="L82" i="14" s="1"/>
  <c r="BU30" i="14"/>
  <c r="BU25" i="14" s="1"/>
  <c r="L90" i="14" s="1"/>
  <c r="CE30" i="14"/>
  <c r="CE25" i="14" s="1"/>
  <c r="L98" i="14" s="1"/>
  <c r="CM30" i="14"/>
  <c r="CM25" i="14" s="1"/>
  <c r="L106" i="14" s="1"/>
  <c r="CW30" i="14"/>
  <c r="CW25" i="14" s="1"/>
  <c r="L114" i="14" s="1"/>
  <c r="DE30" i="14"/>
  <c r="DE25" i="14" s="1"/>
  <c r="L122" i="14" s="1"/>
  <c r="BN30" i="14"/>
  <c r="BN25" i="14" s="1"/>
  <c r="L83" i="14" s="1"/>
  <c r="BV30" i="14"/>
  <c r="BV25" i="14" s="1"/>
  <c r="L91" i="14" s="1"/>
  <c r="CF30" i="14"/>
  <c r="CF25" i="14" s="1"/>
  <c r="L99" i="14" s="1"/>
  <c r="CN30" i="14"/>
  <c r="CN25" i="14" s="1"/>
  <c r="L107" i="14" s="1"/>
  <c r="CX30" i="14"/>
  <c r="CX25" i="14" s="1"/>
  <c r="L115" i="14" s="1"/>
  <c r="BO30" i="14"/>
  <c r="BO25" i="14" s="1"/>
  <c r="L84" i="14" s="1"/>
  <c r="BW30" i="14"/>
  <c r="BW25" i="14" s="1"/>
  <c r="L92" i="14" s="1"/>
  <c r="CG30" i="14"/>
  <c r="CG25" i="14" s="1"/>
  <c r="L100" i="14" s="1"/>
  <c r="CQ30" i="14"/>
  <c r="CQ25" i="14" s="1"/>
  <c r="L108" i="14" s="1"/>
  <c r="CY30" i="14"/>
  <c r="CY25" i="14" s="1"/>
  <c r="L116" i="14" s="1"/>
  <c r="BP30" i="14"/>
  <c r="BP25" i="14" s="1"/>
  <c r="L85" i="14" s="1"/>
  <c r="BZ30" i="14"/>
  <c r="BZ25" i="14" s="1"/>
  <c r="L93" i="14" s="1"/>
  <c r="CH30" i="14"/>
  <c r="CH25" i="14" s="1"/>
  <c r="L101" i="14" s="1"/>
  <c r="CR30" i="14"/>
  <c r="CR25" i="14" s="1"/>
  <c r="L109" i="14" s="1"/>
  <c r="CZ30" i="14"/>
  <c r="CZ25" i="14" s="1"/>
  <c r="L117" i="14" s="1"/>
  <c r="BI30" i="14"/>
  <c r="BI25" i="14" s="1"/>
  <c r="L78" i="14" s="1"/>
  <c r="BQ30" i="14"/>
  <c r="BQ25" i="14" s="1"/>
  <c r="L86" i="14" s="1"/>
  <c r="CA30" i="14"/>
  <c r="CA25" i="14" s="1"/>
  <c r="L94" i="14" s="1"/>
  <c r="CI30" i="14"/>
  <c r="CI25" i="14" s="1"/>
  <c r="L102" i="14" s="1"/>
  <c r="CS30" i="14"/>
  <c r="CS25" i="14" s="1"/>
  <c r="L110" i="14" s="1"/>
  <c r="DA30" i="14"/>
  <c r="DA25" i="14" s="1"/>
  <c r="L118" i="14" s="1"/>
  <c r="BJ30" i="14"/>
  <c r="BJ25" i="14" s="1"/>
  <c r="L79" i="14" s="1"/>
  <c r="BR30" i="14"/>
  <c r="BR25" i="14" s="1"/>
  <c r="L87" i="14" s="1"/>
  <c r="CB30" i="14"/>
  <c r="CB25" i="14" s="1"/>
  <c r="L95" i="14" s="1"/>
  <c r="CJ30" i="14"/>
  <c r="CJ25" i="14" s="1"/>
  <c r="L103" i="14" s="1"/>
  <c r="CT30" i="14"/>
  <c r="CT25" i="14" s="1"/>
  <c r="L111" i="14" s="1"/>
  <c r="DB30" i="14"/>
  <c r="DB25" i="14" s="1"/>
  <c r="L119" i="14" s="1"/>
  <c r="C34" i="14"/>
  <c r="BK30" i="14"/>
  <c r="BK25" i="14" s="1"/>
  <c r="L80" i="14" s="1"/>
  <c r="BS30" i="14"/>
  <c r="BS25" i="14" s="1"/>
  <c r="L88" i="14" s="1"/>
  <c r="CC30" i="14"/>
  <c r="CC25" i="14" s="1"/>
  <c r="L96" i="14" s="1"/>
  <c r="CK30" i="14"/>
  <c r="CK25" i="14" s="1"/>
  <c r="L104" i="14" s="1"/>
  <c r="CU30" i="14"/>
  <c r="CU25" i="14" s="1"/>
  <c r="L112" i="14" s="1"/>
  <c r="DC30" i="14"/>
  <c r="DC25" i="14" s="1"/>
  <c r="L120" i="14" s="1"/>
  <c r="C33" i="14"/>
  <c r="BF25" i="14"/>
  <c r="L77" i="14" s="1"/>
  <c r="O30" i="14"/>
  <c r="O25" i="14" s="1"/>
  <c r="L38" i="14" s="1"/>
  <c r="W30" i="14"/>
  <c r="W25" i="14" s="1"/>
  <c r="L46" i="14" s="1"/>
  <c r="AG30" i="14"/>
  <c r="AG25" i="14" s="1"/>
  <c r="L54" i="14" s="1"/>
  <c r="AO30" i="14"/>
  <c r="AO25" i="14" s="1"/>
  <c r="L62" i="14" s="1"/>
  <c r="AY30" i="14"/>
  <c r="AY25" i="14" s="1"/>
  <c r="L70" i="14" s="1"/>
  <c r="P30" i="14"/>
  <c r="P25" i="14" s="1"/>
  <c r="L39" i="14" s="1"/>
  <c r="X30" i="14"/>
  <c r="X25" i="14" s="1"/>
  <c r="L47" i="14" s="1"/>
  <c r="AH30" i="14"/>
  <c r="AH25" i="14" s="1"/>
  <c r="L55" i="14" s="1"/>
  <c r="AR30" i="14"/>
  <c r="AR25" i="14" s="1"/>
  <c r="L63" i="14" s="1"/>
  <c r="AZ30" i="14"/>
  <c r="AZ25" i="14" s="1"/>
  <c r="L71" i="14" s="1"/>
  <c r="Q30" i="14"/>
  <c r="Q25" i="14" s="1"/>
  <c r="L40" i="14" s="1"/>
  <c r="AA30" i="14"/>
  <c r="AA25" i="14" s="1"/>
  <c r="L48" i="14" s="1"/>
  <c r="AI30" i="14"/>
  <c r="AI25" i="14" s="1"/>
  <c r="L56" i="14" s="1"/>
  <c r="AS30" i="14"/>
  <c r="AS25" i="14" s="1"/>
  <c r="L64" i="14" s="1"/>
  <c r="BA30" i="14"/>
  <c r="BA25" i="14" s="1"/>
  <c r="L72" i="14" s="1"/>
  <c r="J30" i="14"/>
  <c r="J25" i="14" s="1"/>
  <c r="L33" i="14" s="1"/>
  <c r="R30" i="14"/>
  <c r="R25" i="14" s="1"/>
  <c r="L41" i="14" s="1"/>
  <c r="AB30" i="14"/>
  <c r="AB25" i="14" s="1"/>
  <c r="L49" i="14" s="1"/>
  <c r="AJ30" i="14"/>
  <c r="AJ25" i="14" s="1"/>
  <c r="L57" i="14" s="1"/>
  <c r="AT30" i="14"/>
  <c r="AT25" i="14" s="1"/>
  <c r="L65" i="14" s="1"/>
  <c r="BB30" i="14"/>
  <c r="BB25" i="14" s="1"/>
  <c r="L73" i="14" s="1"/>
  <c r="C24" i="14" a="1"/>
  <c r="C24" i="14" s="1"/>
  <c r="E38" i="14" s="1"/>
  <c r="C26" i="14"/>
  <c r="E45" i="14" s="1"/>
  <c r="F45" i="14" s="1"/>
  <c r="K30" i="14"/>
  <c r="K25" i="14" s="1"/>
  <c r="L34" i="14" s="1"/>
  <c r="S30" i="14"/>
  <c r="S25" i="14" s="1"/>
  <c r="L42" i="14" s="1"/>
  <c r="AC30" i="14"/>
  <c r="AC25" i="14" s="1"/>
  <c r="L50" i="14" s="1"/>
  <c r="AK30" i="14"/>
  <c r="AK25" i="14" s="1"/>
  <c r="L58" i="14" s="1"/>
  <c r="AU30" i="14"/>
  <c r="AU25" i="14" s="1"/>
  <c r="L66" i="14" s="1"/>
  <c r="BC30" i="14"/>
  <c r="BC25" i="14" s="1"/>
  <c r="L74" i="14" s="1"/>
  <c r="L30" i="14"/>
  <c r="L25" i="14" s="1"/>
  <c r="L35" i="14" s="1"/>
  <c r="T30" i="14"/>
  <c r="T25" i="14" s="1"/>
  <c r="L43" i="14" s="1"/>
  <c r="AD30" i="14"/>
  <c r="AD25" i="14" s="1"/>
  <c r="L51" i="14" s="1"/>
  <c r="AL30" i="14"/>
  <c r="AL25" i="14" s="1"/>
  <c r="L59" i="14" s="1"/>
  <c r="AV30" i="14"/>
  <c r="AV25" i="14" s="1"/>
  <c r="L67" i="14" s="1"/>
  <c r="BD30" i="14"/>
  <c r="BD25" i="14" s="1"/>
  <c r="L75" i="14" s="1"/>
  <c r="M30" i="14"/>
  <c r="M25" i="14" s="1"/>
  <c r="L36" i="14" s="1"/>
  <c r="U30" i="14"/>
  <c r="U25" i="14" s="1"/>
  <c r="L44" i="14" s="1"/>
  <c r="AE30" i="14"/>
  <c r="AE25" i="14" s="1"/>
  <c r="L52" i="14" s="1"/>
  <c r="AM30" i="14"/>
  <c r="AM25" i="14" s="1"/>
  <c r="L60" i="14" s="1"/>
  <c r="AW30" i="14"/>
  <c r="AW25" i="14" s="1"/>
  <c r="L68" i="14" s="1"/>
  <c r="BE30" i="14"/>
  <c r="BE25" i="14" s="1"/>
  <c r="L76" i="14" s="1"/>
  <c r="N30" i="14"/>
  <c r="N25" i="14" s="1"/>
  <c r="L37" i="14" s="1"/>
  <c r="V30" i="14"/>
  <c r="V25" i="14" s="1"/>
  <c r="L45" i="14" s="1"/>
  <c r="AF30" i="14"/>
  <c r="AF25" i="14" s="1"/>
  <c r="L53" i="14" s="1"/>
  <c r="AN30" i="14"/>
  <c r="AN25" i="14" s="1"/>
  <c r="L61" i="14" s="1"/>
  <c r="AX30" i="14"/>
  <c r="AX25" i="14" s="1"/>
  <c r="L69" i="14" s="1"/>
  <c r="C34" i="13"/>
  <c r="C25" i="13"/>
  <c r="E44" i="13" s="1"/>
  <c r="F44" i="13" s="1"/>
  <c r="BA25" i="13"/>
  <c r="L72" i="13" s="1"/>
  <c r="M30" i="13"/>
  <c r="M25" i="13" s="1"/>
  <c r="L36" i="13" s="1"/>
  <c r="U30" i="13"/>
  <c r="U25" i="13" s="1"/>
  <c r="L44" i="13" s="1"/>
  <c r="AE30" i="13"/>
  <c r="AE25" i="13" s="1"/>
  <c r="L52" i="13" s="1"/>
  <c r="AM30" i="13"/>
  <c r="AM25" i="13" s="1"/>
  <c r="L60" i="13" s="1"/>
  <c r="AW30" i="13"/>
  <c r="AW25" i="13" s="1"/>
  <c r="L68" i="13" s="1"/>
  <c r="BE30" i="13"/>
  <c r="BE25" i="13" s="1"/>
  <c r="L76" i="13" s="1"/>
  <c r="J30" i="13"/>
  <c r="J25" i="13" s="1"/>
  <c r="L33" i="13" s="1"/>
  <c r="R30" i="13"/>
  <c r="R25" i="13" s="1"/>
  <c r="L41" i="13" s="1"/>
  <c r="AB30" i="13"/>
  <c r="AB25" i="13" s="1"/>
  <c r="L49" i="13" s="1"/>
  <c r="AJ30" i="13"/>
  <c r="AJ25" i="13" s="1"/>
  <c r="L57" i="13" s="1"/>
  <c r="AT30" i="13"/>
  <c r="AT25" i="13" s="1"/>
  <c r="L65" i="13" s="1"/>
  <c r="BB30" i="13"/>
  <c r="BB25" i="13" s="1"/>
  <c r="L73" i="13" s="1"/>
  <c r="K30" i="13"/>
  <c r="K25" i="13" s="1"/>
  <c r="L34" i="13" s="1"/>
  <c r="S30" i="13"/>
  <c r="S25" i="13" s="1"/>
  <c r="L42" i="13" s="1"/>
  <c r="AC30" i="13"/>
  <c r="AC25" i="13" s="1"/>
  <c r="L50" i="13" s="1"/>
  <c r="AK30" i="13"/>
  <c r="AK25" i="13" s="1"/>
  <c r="L58" i="13" s="1"/>
  <c r="AU30" i="13"/>
  <c r="AU25" i="13" s="1"/>
  <c r="L66" i="13" s="1"/>
  <c r="BC30" i="13"/>
  <c r="BC25" i="13" s="1"/>
  <c r="L74" i="13" s="1"/>
  <c r="L30" i="13"/>
  <c r="L25" i="13" s="1"/>
  <c r="L35" i="13" s="1"/>
  <c r="T30" i="13"/>
  <c r="T25" i="13" s="1"/>
  <c r="L43" i="13" s="1"/>
  <c r="AD30" i="13"/>
  <c r="AD25" i="13" s="1"/>
  <c r="L51" i="13" s="1"/>
  <c r="AL30" i="13"/>
  <c r="AL25" i="13" s="1"/>
  <c r="L59" i="13" s="1"/>
  <c r="AV30" i="13"/>
  <c r="AV25" i="13" s="1"/>
  <c r="L67" i="13" s="1"/>
  <c r="BD30" i="13"/>
  <c r="BD25" i="13" s="1"/>
  <c r="L75" i="13" s="1"/>
  <c r="N30" i="13"/>
  <c r="N25" i="13" s="1"/>
  <c r="L37" i="13" s="1"/>
  <c r="V30" i="13"/>
  <c r="V25" i="13" s="1"/>
  <c r="L45" i="13" s="1"/>
  <c r="AF30" i="13"/>
  <c r="AF25" i="13" s="1"/>
  <c r="L53" i="13" s="1"/>
  <c r="AN30" i="13"/>
  <c r="AN25" i="13" s="1"/>
  <c r="L61" i="13" s="1"/>
  <c r="AX30" i="13"/>
  <c r="AX25" i="13" s="1"/>
  <c r="L69" i="13" s="1"/>
  <c r="BF30" i="13"/>
  <c r="BF25" i="13" s="1"/>
  <c r="L77" i="13" s="1"/>
  <c r="O30" i="13"/>
  <c r="O25" i="13" s="1"/>
  <c r="L38" i="13" s="1"/>
  <c r="W30" i="13"/>
  <c r="W25" i="13" s="1"/>
  <c r="L46" i="13" s="1"/>
  <c r="AG30" i="13"/>
  <c r="AG25" i="13" s="1"/>
  <c r="L54" i="13" s="1"/>
  <c r="AO30" i="13"/>
  <c r="AO25" i="13" s="1"/>
  <c r="L62" i="13" s="1"/>
  <c r="AY30" i="13"/>
  <c r="AY25" i="13" s="1"/>
  <c r="L70" i="13" s="1"/>
  <c r="P30" i="13"/>
  <c r="P25" i="13" s="1"/>
  <c r="L39" i="13" s="1"/>
  <c r="X30" i="13"/>
  <c r="X25" i="13" s="1"/>
  <c r="L47" i="13" s="1"/>
  <c r="AH30" i="13"/>
  <c r="AH25" i="13" s="1"/>
  <c r="L55" i="13" s="1"/>
  <c r="AR30" i="13"/>
  <c r="AR25" i="13" s="1"/>
  <c r="L63" i="13" s="1"/>
  <c r="AZ30" i="13"/>
  <c r="AZ25" i="13" s="1"/>
  <c r="L71" i="13" s="1"/>
  <c r="C33" i="13"/>
  <c r="Q30" i="13"/>
  <c r="Q25" i="13" s="1"/>
  <c r="L40" i="13" s="1"/>
  <c r="C24" i="13" s="1" a="1"/>
  <c r="C24" i="13" s="1"/>
  <c r="C32" i="13" s="1"/>
  <c r="AA30" i="13"/>
  <c r="AA25" i="13" s="1"/>
  <c r="L48" i="13" s="1"/>
  <c r="AI30" i="13"/>
  <c r="AI25" i="13" s="1"/>
  <c r="L56" i="13" s="1"/>
  <c r="AS30" i="13"/>
  <c r="AS25" i="13" s="1"/>
  <c r="L64" i="13" s="1"/>
  <c r="C26" i="12"/>
  <c r="E45" i="12" s="1"/>
  <c r="F45" i="12" s="1"/>
  <c r="O30" i="12"/>
  <c r="O25" i="12" s="1"/>
  <c r="L38" i="12" s="1"/>
  <c r="W30" i="12"/>
  <c r="W25" i="12" s="1"/>
  <c r="L46" i="12" s="1"/>
  <c r="AG30" i="12"/>
  <c r="AG25" i="12" s="1"/>
  <c r="L54" i="12" s="1"/>
  <c r="AO30" i="12"/>
  <c r="AO25" i="12" s="1"/>
  <c r="L62" i="12" s="1"/>
  <c r="AY30" i="12"/>
  <c r="AY25" i="12" s="1"/>
  <c r="L70" i="12" s="1"/>
  <c r="P30" i="12"/>
  <c r="P25" i="12" s="1"/>
  <c r="L39" i="12" s="1"/>
  <c r="X30" i="12"/>
  <c r="X25" i="12" s="1"/>
  <c r="L47" i="12" s="1"/>
  <c r="AH30" i="12"/>
  <c r="AH25" i="12" s="1"/>
  <c r="L55" i="12" s="1"/>
  <c r="AR30" i="12"/>
  <c r="AR25" i="12" s="1"/>
  <c r="L63" i="12" s="1"/>
  <c r="AZ30" i="12"/>
  <c r="AZ25" i="12" s="1"/>
  <c r="L71" i="12" s="1"/>
  <c r="C33" i="12"/>
  <c r="Q30" i="12"/>
  <c r="Q25" i="12" s="1"/>
  <c r="L40" i="12" s="1"/>
  <c r="C24" i="12" s="1" a="1"/>
  <c r="C24" i="12" s="1"/>
  <c r="AA30" i="12"/>
  <c r="AA25" i="12" s="1"/>
  <c r="L48" i="12" s="1"/>
  <c r="AI30" i="12"/>
  <c r="AI25" i="12" s="1"/>
  <c r="L56" i="12" s="1"/>
  <c r="AS30" i="12"/>
  <c r="AS25" i="12" s="1"/>
  <c r="L64" i="12" s="1"/>
  <c r="BA30" i="12"/>
  <c r="BA25" i="12" s="1"/>
  <c r="L72" i="12" s="1"/>
  <c r="J30" i="12"/>
  <c r="J25" i="12" s="1"/>
  <c r="L33" i="12" s="1"/>
  <c r="R30" i="12"/>
  <c r="R25" i="12" s="1"/>
  <c r="L41" i="12" s="1"/>
  <c r="AB30" i="12"/>
  <c r="AB25" i="12" s="1"/>
  <c r="L49" i="12" s="1"/>
  <c r="AJ30" i="12"/>
  <c r="AJ25" i="12" s="1"/>
  <c r="L57" i="12" s="1"/>
  <c r="AT30" i="12"/>
  <c r="AT25" i="12" s="1"/>
  <c r="L65" i="12" s="1"/>
  <c r="BB30" i="12"/>
  <c r="BB25" i="12" s="1"/>
  <c r="L73" i="12" s="1"/>
  <c r="K30" i="12"/>
  <c r="K25" i="12" s="1"/>
  <c r="L34" i="12" s="1"/>
  <c r="S30" i="12"/>
  <c r="S25" i="12" s="1"/>
  <c r="L42" i="12" s="1"/>
  <c r="AC30" i="12"/>
  <c r="AC25" i="12" s="1"/>
  <c r="L50" i="12" s="1"/>
  <c r="AK30" i="12"/>
  <c r="AK25" i="12" s="1"/>
  <c r="L58" i="12" s="1"/>
  <c r="AU30" i="12"/>
  <c r="AU25" i="12" s="1"/>
  <c r="L66" i="12" s="1"/>
  <c r="BC30" i="12"/>
  <c r="BC25" i="12" s="1"/>
  <c r="L74" i="12" s="1"/>
  <c r="L30" i="12"/>
  <c r="L25" i="12" s="1"/>
  <c r="L35" i="12" s="1"/>
  <c r="T30" i="12"/>
  <c r="T25" i="12" s="1"/>
  <c r="L43" i="12" s="1"/>
  <c r="AD30" i="12"/>
  <c r="AD25" i="12" s="1"/>
  <c r="L51" i="12" s="1"/>
  <c r="AL30" i="12"/>
  <c r="AL25" i="12" s="1"/>
  <c r="L59" i="12" s="1"/>
  <c r="AV30" i="12"/>
  <c r="AV25" i="12" s="1"/>
  <c r="L67" i="12" s="1"/>
  <c r="BD30" i="12"/>
  <c r="BD25" i="12" s="1"/>
  <c r="L75" i="12" s="1"/>
  <c r="M30" i="12"/>
  <c r="M25" i="12" s="1"/>
  <c r="L36" i="12" s="1"/>
  <c r="U30" i="12"/>
  <c r="U25" i="12" s="1"/>
  <c r="L44" i="12" s="1"/>
  <c r="AE30" i="12"/>
  <c r="AE25" i="12" s="1"/>
  <c r="L52" i="12" s="1"/>
  <c r="AM30" i="12"/>
  <c r="AM25" i="12" s="1"/>
  <c r="L60" i="12" s="1"/>
  <c r="AW30" i="12"/>
  <c r="AW25" i="12" s="1"/>
  <c r="L68" i="12" s="1"/>
  <c r="BE30" i="12"/>
  <c r="BE25" i="12" s="1"/>
  <c r="L76" i="12" s="1"/>
  <c r="N30" i="12"/>
  <c r="N25" i="12" s="1"/>
  <c r="L37" i="12" s="1"/>
  <c r="V30" i="12"/>
  <c r="V25" i="12" s="1"/>
  <c r="L45" i="12" s="1"/>
  <c r="AF30" i="12"/>
  <c r="AF25" i="12" s="1"/>
  <c r="L53" i="12" s="1"/>
  <c r="AN30" i="12"/>
  <c r="AN25" i="12" s="1"/>
  <c r="L61" i="12" s="1"/>
  <c r="AX30" i="12"/>
  <c r="AX25" i="12" s="1"/>
  <c r="L69" i="12" s="1"/>
  <c r="BA25" i="11"/>
  <c r="L72" i="11" s="1"/>
  <c r="C34" i="11"/>
  <c r="J30" i="11"/>
  <c r="J25" i="11" s="1"/>
  <c r="L33" i="11" s="1"/>
  <c r="R30" i="11"/>
  <c r="R25" i="11" s="1"/>
  <c r="L41" i="11" s="1"/>
  <c r="C25" i="11"/>
  <c r="E44" i="11" s="1"/>
  <c r="F44" i="11" s="1"/>
  <c r="AB30" i="11"/>
  <c r="AB25" i="11" s="1"/>
  <c r="L49" i="11" s="1"/>
  <c r="AJ30" i="11"/>
  <c r="AJ25" i="11" s="1"/>
  <c r="L57" i="11" s="1"/>
  <c r="AT30" i="11"/>
  <c r="AT25" i="11" s="1"/>
  <c r="L65" i="11" s="1"/>
  <c r="BB30" i="11"/>
  <c r="BB25" i="11" s="1"/>
  <c r="L73" i="11" s="1"/>
  <c r="K30" i="11"/>
  <c r="K25" i="11" s="1"/>
  <c r="L34" i="11" s="1"/>
  <c r="S30" i="11"/>
  <c r="S25" i="11" s="1"/>
  <c r="L42" i="11" s="1"/>
  <c r="AC30" i="11"/>
  <c r="AC25" i="11" s="1"/>
  <c r="L50" i="11" s="1"/>
  <c r="AK30" i="11"/>
  <c r="AK25" i="11" s="1"/>
  <c r="L58" i="11" s="1"/>
  <c r="AU30" i="11"/>
  <c r="AU25" i="11" s="1"/>
  <c r="L66" i="11" s="1"/>
  <c r="BC30" i="11"/>
  <c r="BC25" i="11" s="1"/>
  <c r="L74" i="11" s="1"/>
  <c r="L30" i="11"/>
  <c r="L25" i="11" s="1"/>
  <c r="L35" i="11" s="1"/>
  <c r="T30" i="11"/>
  <c r="T25" i="11" s="1"/>
  <c r="L43" i="11" s="1"/>
  <c r="AD30" i="11"/>
  <c r="AD25" i="11" s="1"/>
  <c r="L51" i="11" s="1"/>
  <c r="AL30" i="11"/>
  <c r="AL25" i="11" s="1"/>
  <c r="L59" i="11" s="1"/>
  <c r="AV30" i="11"/>
  <c r="AV25" i="11" s="1"/>
  <c r="L67" i="11" s="1"/>
  <c r="BD30" i="11"/>
  <c r="BD25" i="11" s="1"/>
  <c r="L75" i="11" s="1"/>
  <c r="M30" i="11"/>
  <c r="M25" i="11" s="1"/>
  <c r="L36" i="11" s="1"/>
  <c r="U30" i="11"/>
  <c r="U25" i="11" s="1"/>
  <c r="L44" i="11" s="1"/>
  <c r="AE30" i="11"/>
  <c r="AE25" i="11" s="1"/>
  <c r="L52" i="11" s="1"/>
  <c r="AM30" i="11"/>
  <c r="AM25" i="11" s="1"/>
  <c r="L60" i="11" s="1"/>
  <c r="AW30" i="11"/>
  <c r="AW25" i="11" s="1"/>
  <c r="L68" i="11" s="1"/>
  <c r="BE30" i="11"/>
  <c r="BE25" i="11" s="1"/>
  <c r="L76" i="11" s="1"/>
  <c r="N30" i="11"/>
  <c r="N25" i="11" s="1"/>
  <c r="L37" i="11" s="1"/>
  <c r="V30" i="11"/>
  <c r="V25" i="11" s="1"/>
  <c r="L45" i="11" s="1"/>
  <c r="AF30" i="11"/>
  <c r="AF25" i="11" s="1"/>
  <c r="L53" i="11" s="1"/>
  <c r="AN30" i="11"/>
  <c r="AN25" i="11" s="1"/>
  <c r="L61" i="11" s="1"/>
  <c r="AX30" i="11"/>
  <c r="AX25" i="11" s="1"/>
  <c r="L69" i="11" s="1"/>
  <c r="BF30" i="11"/>
  <c r="BF25" i="11" s="1"/>
  <c r="L77" i="11" s="1"/>
  <c r="O30" i="11"/>
  <c r="O25" i="11" s="1"/>
  <c r="L38" i="11" s="1"/>
  <c r="W30" i="11"/>
  <c r="W25" i="11" s="1"/>
  <c r="L46" i="11" s="1"/>
  <c r="AG30" i="11"/>
  <c r="AG25" i="11" s="1"/>
  <c r="L54" i="11" s="1"/>
  <c r="AO30" i="11"/>
  <c r="AO25" i="11" s="1"/>
  <c r="L62" i="11" s="1"/>
  <c r="AY30" i="11"/>
  <c r="AY25" i="11" s="1"/>
  <c r="L70" i="11" s="1"/>
  <c r="P30" i="11"/>
  <c r="P25" i="11" s="1"/>
  <c r="L39" i="11" s="1"/>
  <c r="X30" i="11"/>
  <c r="X25" i="11" s="1"/>
  <c r="L47" i="11" s="1"/>
  <c r="AH30" i="11"/>
  <c r="AH25" i="11" s="1"/>
  <c r="L55" i="11" s="1"/>
  <c r="AR30" i="11"/>
  <c r="AR25" i="11" s="1"/>
  <c r="L63" i="11" s="1"/>
  <c r="AZ30" i="11"/>
  <c r="AZ25" i="11" s="1"/>
  <c r="L71" i="11" s="1"/>
  <c r="C33" i="11"/>
  <c r="Q30" i="11"/>
  <c r="Q25" i="11" s="1"/>
  <c r="L40" i="11" s="1"/>
  <c r="C24" i="11" s="1" a="1"/>
  <c r="C24" i="11" s="1"/>
  <c r="AA30" i="11"/>
  <c r="AA25" i="11" s="1"/>
  <c r="L48" i="11" s="1"/>
  <c r="AI30" i="11"/>
  <c r="AI25" i="11" s="1"/>
  <c r="L56" i="11" s="1"/>
  <c r="AS30" i="11"/>
  <c r="AS25" i="11" s="1"/>
  <c r="L64" i="11" s="1"/>
  <c r="C34" i="10"/>
  <c r="BF25" i="10"/>
  <c r="L77" i="10" s="1"/>
  <c r="C25" i="10"/>
  <c r="E44" i="10" s="1"/>
  <c r="F44" i="10" s="1"/>
  <c r="O30" i="10"/>
  <c r="O25" i="10" s="1"/>
  <c r="L38" i="10" s="1"/>
  <c r="W30" i="10"/>
  <c r="W25" i="10" s="1"/>
  <c r="L46" i="10" s="1"/>
  <c r="AG30" i="10"/>
  <c r="AG25" i="10" s="1"/>
  <c r="L54" i="10" s="1"/>
  <c r="AO30" i="10"/>
  <c r="AO25" i="10" s="1"/>
  <c r="L62" i="10" s="1"/>
  <c r="AY30" i="10"/>
  <c r="AY25" i="10" s="1"/>
  <c r="L70" i="10" s="1"/>
  <c r="P30" i="10"/>
  <c r="P25" i="10" s="1"/>
  <c r="L39" i="10" s="1"/>
  <c r="X30" i="10"/>
  <c r="X25" i="10" s="1"/>
  <c r="L47" i="10" s="1"/>
  <c r="AH30" i="10"/>
  <c r="AH25" i="10" s="1"/>
  <c r="L55" i="10" s="1"/>
  <c r="AR30" i="10"/>
  <c r="AR25" i="10" s="1"/>
  <c r="L63" i="10" s="1"/>
  <c r="AZ30" i="10"/>
  <c r="AZ25" i="10" s="1"/>
  <c r="L71" i="10" s="1"/>
  <c r="C33" i="10"/>
  <c r="Q30" i="10"/>
  <c r="Q25" i="10" s="1"/>
  <c r="L40" i="10" s="1"/>
  <c r="C24" i="10" s="1" a="1"/>
  <c r="C24" i="10" s="1"/>
  <c r="C32" i="10" s="1"/>
  <c r="AA30" i="10"/>
  <c r="AA25" i="10" s="1"/>
  <c r="L48" i="10" s="1"/>
  <c r="AI30" i="10"/>
  <c r="AI25" i="10" s="1"/>
  <c r="L56" i="10" s="1"/>
  <c r="AS30" i="10"/>
  <c r="AS25" i="10" s="1"/>
  <c r="L64" i="10" s="1"/>
  <c r="BA30" i="10"/>
  <c r="BA25" i="10" s="1"/>
  <c r="L72" i="10" s="1"/>
  <c r="J30" i="10"/>
  <c r="J25" i="10" s="1"/>
  <c r="L33" i="10" s="1"/>
  <c r="R30" i="10"/>
  <c r="R25" i="10" s="1"/>
  <c r="L41" i="10" s="1"/>
  <c r="AB30" i="10"/>
  <c r="AB25" i="10" s="1"/>
  <c r="L49" i="10" s="1"/>
  <c r="AJ30" i="10"/>
  <c r="AJ25" i="10" s="1"/>
  <c r="L57" i="10" s="1"/>
  <c r="AT30" i="10"/>
  <c r="AT25" i="10" s="1"/>
  <c r="L65" i="10" s="1"/>
  <c r="BB30" i="10"/>
  <c r="BB25" i="10" s="1"/>
  <c r="L73" i="10" s="1"/>
  <c r="K30" i="10"/>
  <c r="K25" i="10" s="1"/>
  <c r="L34" i="10" s="1"/>
  <c r="S30" i="10"/>
  <c r="S25" i="10" s="1"/>
  <c r="L42" i="10" s="1"/>
  <c r="AC30" i="10"/>
  <c r="AC25" i="10" s="1"/>
  <c r="L50" i="10" s="1"/>
  <c r="AK30" i="10"/>
  <c r="AK25" i="10" s="1"/>
  <c r="L58" i="10" s="1"/>
  <c r="AU30" i="10"/>
  <c r="AU25" i="10" s="1"/>
  <c r="L66" i="10" s="1"/>
  <c r="BC30" i="10"/>
  <c r="BC25" i="10" s="1"/>
  <c r="L74" i="10" s="1"/>
  <c r="L30" i="10"/>
  <c r="L25" i="10" s="1"/>
  <c r="L35" i="10" s="1"/>
  <c r="T30" i="10"/>
  <c r="T25" i="10" s="1"/>
  <c r="L43" i="10" s="1"/>
  <c r="AD30" i="10"/>
  <c r="AD25" i="10" s="1"/>
  <c r="L51" i="10" s="1"/>
  <c r="AL30" i="10"/>
  <c r="AL25" i="10" s="1"/>
  <c r="L59" i="10" s="1"/>
  <c r="AV30" i="10"/>
  <c r="AV25" i="10" s="1"/>
  <c r="L67" i="10" s="1"/>
  <c r="BD30" i="10"/>
  <c r="BD25" i="10" s="1"/>
  <c r="L75" i="10" s="1"/>
  <c r="M30" i="10"/>
  <c r="M25" i="10" s="1"/>
  <c r="L36" i="10" s="1"/>
  <c r="U30" i="10"/>
  <c r="U25" i="10" s="1"/>
  <c r="L44" i="10" s="1"/>
  <c r="AE30" i="10"/>
  <c r="AE25" i="10" s="1"/>
  <c r="L52" i="10" s="1"/>
  <c r="AM30" i="10"/>
  <c r="AM25" i="10" s="1"/>
  <c r="L60" i="10" s="1"/>
  <c r="AW30" i="10"/>
  <c r="AW25" i="10" s="1"/>
  <c r="L68" i="10" s="1"/>
  <c r="BE30" i="10"/>
  <c r="BE25" i="10" s="1"/>
  <c r="L76" i="10" s="1"/>
  <c r="N30" i="10"/>
  <c r="N25" i="10" s="1"/>
  <c r="L37" i="10" s="1"/>
  <c r="V30" i="10"/>
  <c r="V25" i="10" s="1"/>
  <c r="L45" i="10" s="1"/>
  <c r="AF30" i="10"/>
  <c r="AF25" i="10" s="1"/>
  <c r="L53" i="10" s="1"/>
  <c r="AN30" i="10"/>
  <c r="AN25" i="10" s="1"/>
  <c r="L61" i="10" s="1"/>
  <c r="AX30" i="10"/>
  <c r="AX25" i="10" s="1"/>
  <c r="L69" i="10" s="1"/>
  <c r="C34" i="9"/>
  <c r="C25" i="9"/>
  <c r="E44" i="9" s="1"/>
  <c r="F44" i="9" s="1"/>
  <c r="BA25" i="9"/>
  <c r="L72" i="9" s="1"/>
  <c r="J30" i="9"/>
  <c r="J25" i="9" s="1"/>
  <c r="L33" i="9" s="1"/>
  <c r="R30" i="9"/>
  <c r="R25" i="9" s="1"/>
  <c r="L41" i="9" s="1"/>
  <c r="AB30" i="9"/>
  <c r="AB25" i="9" s="1"/>
  <c r="L49" i="9" s="1"/>
  <c r="AJ30" i="9"/>
  <c r="AJ25" i="9" s="1"/>
  <c r="L57" i="9" s="1"/>
  <c r="AT30" i="9"/>
  <c r="AT25" i="9" s="1"/>
  <c r="L65" i="9" s="1"/>
  <c r="BB30" i="9"/>
  <c r="BB25" i="9" s="1"/>
  <c r="L73" i="9" s="1"/>
  <c r="K30" i="9"/>
  <c r="K25" i="9" s="1"/>
  <c r="L34" i="9" s="1"/>
  <c r="S30" i="9"/>
  <c r="S25" i="9" s="1"/>
  <c r="L42" i="9" s="1"/>
  <c r="AC30" i="9"/>
  <c r="AC25" i="9" s="1"/>
  <c r="L50" i="9" s="1"/>
  <c r="AK30" i="9"/>
  <c r="AK25" i="9" s="1"/>
  <c r="L58" i="9" s="1"/>
  <c r="AU30" i="9"/>
  <c r="AU25" i="9" s="1"/>
  <c r="L66" i="9" s="1"/>
  <c r="BC30" i="9"/>
  <c r="BC25" i="9" s="1"/>
  <c r="L74" i="9" s="1"/>
  <c r="L30" i="9"/>
  <c r="L25" i="9" s="1"/>
  <c r="L35" i="9" s="1"/>
  <c r="T30" i="9"/>
  <c r="T25" i="9" s="1"/>
  <c r="L43" i="9" s="1"/>
  <c r="AD30" i="9"/>
  <c r="AD25" i="9" s="1"/>
  <c r="L51" i="9" s="1"/>
  <c r="AL30" i="9"/>
  <c r="AL25" i="9" s="1"/>
  <c r="L59" i="9" s="1"/>
  <c r="AV30" i="9"/>
  <c r="AV25" i="9" s="1"/>
  <c r="L67" i="9" s="1"/>
  <c r="BD30" i="9"/>
  <c r="BD25" i="9" s="1"/>
  <c r="L75" i="9" s="1"/>
  <c r="M30" i="9"/>
  <c r="M25" i="9" s="1"/>
  <c r="L36" i="9" s="1"/>
  <c r="U30" i="9"/>
  <c r="U25" i="9" s="1"/>
  <c r="L44" i="9" s="1"/>
  <c r="AE30" i="9"/>
  <c r="AE25" i="9" s="1"/>
  <c r="L52" i="9" s="1"/>
  <c r="AM30" i="9"/>
  <c r="AM25" i="9" s="1"/>
  <c r="L60" i="9" s="1"/>
  <c r="AW30" i="9"/>
  <c r="AW25" i="9" s="1"/>
  <c r="L68" i="9" s="1"/>
  <c r="BE30" i="9"/>
  <c r="BE25" i="9" s="1"/>
  <c r="L76" i="9" s="1"/>
  <c r="N30" i="9"/>
  <c r="N25" i="9" s="1"/>
  <c r="L37" i="9" s="1"/>
  <c r="V30" i="9"/>
  <c r="V25" i="9" s="1"/>
  <c r="L45" i="9" s="1"/>
  <c r="AF30" i="9"/>
  <c r="AF25" i="9" s="1"/>
  <c r="L53" i="9" s="1"/>
  <c r="AN30" i="9"/>
  <c r="AN25" i="9" s="1"/>
  <c r="L61" i="9" s="1"/>
  <c r="AX30" i="9"/>
  <c r="AX25" i="9" s="1"/>
  <c r="L69" i="9" s="1"/>
  <c r="BF30" i="9"/>
  <c r="BF25" i="9" s="1"/>
  <c r="L77" i="9" s="1"/>
  <c r="O30" i="9"/>
  <c r="O25" i="9" s="1"/>
  <c r="L38" i="9" s="1"/>
  <c r="W30" i="9"/>
  <c r="W25" i="9" s="1"/>
  <c r="L46" i="9" s="1"/>
  <c r="AG30" i="9"/>
  <c r="AG25" i="9" s="1"/>
  <c r="L54" i="9" s="1"/>
  <c r="AO30" i="9"/>
  <c r="AO25" i="9" s="1"/>
  <c r="L62" i="9" s="1"/>
  <c r="AY30" i="9"/>
  <c r="AY25" i="9" s="1"/>
  <c r="L70" i="9" s="1"/>
  <c r="P30" i="9"/>
  <c r="P25" i="9" s="1"/>
  <c r="L39" i="9" s="1"/>
  <c r="X30" i="9"/>
  <c r="X25" i="9" s="1"/>
  <c r="L47" i="9" s="1"/>
  <c r="AH30" i="9"/>
  <c r="AH25" i="9" s="1"/>
  <c r="L55" i="9" s="1"/>
  <c r="AR30" i="9"/>
  <c r="AR25" i="9" s="1"/>
  <c r="L63" i="9" s="1"/>
  <c r="AZ30" i="9"/>
  <c r="AZ25" i="9" s="1"/>
  <c r="L71" i="9" s="1"/>
  <c r="C33" i="9"/>
  <c r="Q30" i="9"/>
  <c r="Q25" i="9" s="1"/>
  <c r="L40" i="9" s="1"/>
  <c r="C24" i="9" s="1" a="1"/>
  <c r="C24" i="9" s="1"/>
  <c r="C32" i="9" s="1"/>
  <c r="AA30" i="9"/>
  <c r="AA25" i="9" s="1"/>
  <c r="L48" i="9" s="1"/>
  <c r="AI30" i="9"/>
  <c r="AI25" i="9" s="1"/>
  <c r="L56" i="9" s="1"/>
  <c r="AS30" i="9"/>
  <c r="AS25" i="9" s="1"/>
  <c r="L64" i="9" s="1"/>
  <c r="E44" i="12" l="1"/>
  <c r="F44" i="12" s="1"/>
  <c r="E45" i="10"/>
  <c r="F45" i="10" s="1"/>
  <c r="E45" i="9"/>
  <c r="F45" i="9" s="1"/>
  <c r="E45" i="13"/>
  <c r="F45" i="13" s="1"/>
  <c r="E45" i="11"/>
  <c r="F45" i="11" s="1"/>
  <c r="E44" i="14"/>
  <c r="F44" i="14" s="1"/>
  <c r="C40" i="14"/>
  <c r="C32" i="14"/>
  <c r="E38" i="13"/>
  <c r="E38" i="12"/>
  <c r="C32" i="12"/>
  <c r="C32" i="11"/>
  <c r="E38" i="11"/>
  <c r="E38" i="10"/>
  <c r="E38" i="9"/>
  <c r="E39" i="14" l="1"/>
  <c r="E40" i="14"/>
  <c r="C45" i="14"/>
  <c r="C47" i="14" s="1"/>
  <c r="C40" i="13"/>
  <c r="C40" i="12"/>
  <c r="C40" i="11"/>
  <c r="C47" i="11" s="1"/>
  <c r="C40" i="10"/>
  <c r="C40" i="9"/>
  <c r="E39" i="12" l="1"/>
  <c r="C47" i="12"/>
  <c r="E41" i="14"/>
  <c r="C39" i="14" s="1"/>
  <c r="C44" i="14" s="1"/>
  <c r="E39" i="10"/>
  <c r="C45" i="13"/>
  <c r="C47" i="13" s="1"/>
  <c r="E40" i="13"/>
  <c r="E39" i="13"/>
  <c r="E40" i="12"/>
  <c r="E41" i="12" s="1"/>
  <c r="C39" i="12" s="1"/>
  <c r="C45" i="12"/>
  <c r="C45" i="11"/>
  <c r="E40" i="11"/>
  <c r="E39" i="11"/>
  <c r="E40" i="10"/>
  <c r="C45" i="10"/>
  <c r="C47" i="10" s="1"/>
  <c r="C45" i="9"/>
  <c r="C47" i="9" s="1"/>
  <c r="E40" i="9"/>
  <c r="E39" i="9"/>
  <c r="C44" i="12" l="1"/>
  <c r="C46" i="12"/>
  <c r="C41" i="14"/>
  <c r="C48" i="14" s="1"/>
  <c r="C49" i="14" s="1"/>
  <c r="C46" i="14"/>
  <c r="E41" i="10"/>
  <c r="C39" i="10" s="1"/>
  <c r="C44" i="10" s="1"/>
  <c r="E41" i="13"/>
  <c r="C39" i="13" s="1"/>
  <c r="C41" i="12"/>
  <c r="E41" i="11"/>
  <c r="C39" i="11" s="1"/>
  <c r="C46" i="11" s="1"/>
  <c r="E41" i="9"/>
  <c r="C39" i="9" s="1"/>
  <c r="C41" i="10" l="1"/>
  <c r="C42" i="14"/>
  <c r="C46" i="10"/>
  <c r="C44" i="13"/>
  <c r="C46" i="13" s="1"/>
  <c r="C41" i="13"/>
  <c r="C48" i="12"/>
  <c r="C49" i="12" s="1"/>
  <c r="C42" i="12"/>
  <c r="C44" i="11"/>
  <c r="C41" i="11"/>
  <c r="C48" i="10"/>
  <c r="C49" i="10" s="1"/>
  <c r="C42" i="10"/>
  <c r="C44" i="9"/>
  <c r="C46" i="9" s="1"/>
  <c r="C41" i="9"/>
  <c r="C48" i="13" l="1"/>
  <c r="C49" i="13" s="1"/>
  <c r="C42" i="13"/>
  <c r="C48" i="11"/>
  <c r="C49" i="11" s="1"/>
  <c r="C42" i="11"/>
  <c r="C48" i="9"/>
  <c r="C49" i="9" s="1"/>
  <c r="C42" i="9"/>
  <c r="BF29" i="8" l="1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 a="1"/>
  <c r="J28" i="8" s="1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 a="1"/>
  <c r="J27" i="8" s="1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C23" i="8"/>
  <c r="C34" i="8" s="1"/>
  <c r="C22" i="8"/>
  <c r="E21" i="8"/>
  <c r="C25" i="8" s="1"/>
  <c r="C16" i="8"/>
  <c r="BF30" i="8" s="1"/>
  <c r="C13" i="8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 a="1"/>
  <c r="J28" i="7" s="1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 a="1"/>
  <c r="J27" i="7" s="1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C23" i="7"/>
  <c r="C22" i="7"/>
  <c r="E21" i="7"/>
  <c r="C26" i="7" s="1"/>
  <c r="C16" i="7"/>
  <c r="BA30" i="7" s="1"/>
  <c r="C13" i="7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 a="1"/>
  <c r="J28" i="6" s="1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 a="1"/>
  <c r="J27" i="6" s="1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C23" i="6"/>
  <c r="C22" i="6"/>
  <c r="E21" i="6"/>
  <c r="C26" i="6" s="1"/>
  <c r="E44" i="6" s="1"/>
  <c r="F44" i="6" s="1"/>
  <c r="C16" i="6"/>
  <c r="BA30" i="6" s="1"/>
  <c r="C13" i="6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 a="1"/>
  <c r="J28" i="5" s="1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 a="1"/>
  <c r="J27" i="5" s="1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C23" i="5"/>
  <c r="C22" i="5"/>
  <c r="E21" i="5"/>
  <c r="C26" i="5" s="1"/>
  <c r="C16" i="5"/>
  <c r="BF30" i="5" s="1"/>
  <c r="C13" i="5"/>
  <c r="BF29" i="3"/>
  <c r="BF28" i="3"/>
  <c r="BF27" i="3"/>
  <c r="BF26" i="3"/>
  <c r="BE29" i="3"/>
  <c r="BE28" i="3"/>
  <c r="BE27" i="3"/>
  <c r="BE26" i="3"/>
  <c r="BD29" i="3"/>
  <c r="BD28" i="3"/>
  <c r="BD27" i="3"/>
  <c r="BD26" i="3"/>
  <c r="BC29" i="3"/>
  <c r="BC28" i="3"/>
  <c r="BC27" i="3"/>
  <c r="BC26" i="3"/>
  <c r="BB29" i="3"/>
  <c r="BB28" i="3"/>
  <c r="BB27" i="3"/>
  <c r="BB26" i="3"/>
  <c r="BA29" i="3"/>
  <c r="BA28" i="3"/>
  <c r="BA27" i="3"/>
  <c r="BA26" i="3"/>
  <c r="AZ29" i="3"/>
  <c r="AZ28" i="3"/>
  <c r="AZ27" i="3"/>
  <c r="AZ26" i="3"/>
  <c r="AY29" i="3"/>
  <c r="AY28" i="3"/>
  <c r="AY27" i="3"/>
  <c r="AY26" i="3"/>
  <c r="AX29" i="3"/>
  <c r="AX28" i="3"/>
  <c r="AX27" i="3"/>
  <c r="AX26" i="3"/>
  <c r="AW29" i="3"/>
  <c r="AW28" i="3"/>
  <c r="AW27" i="3"/>
  <c r="AW26" i="3"/>
  <c r="AV29" i="3"/>
  <c r="AV28" i="3"/>
  <c r="AV27" i="3"/>
  <c r="AV26" i="3"/>
  <c r="AU29" i="3"/>
  <c r="AU28" i="3"/>
  <c r="AU27" i="3"/>
  <c r="AU26" i="3"/>
  <c r="AT29" i="3"/>
  <c r="AT28" i="3"/>
  <c r="AT27" i="3"/>
  <c r="AT26" i="3"/>
  <c r="AS28" i="3"/>
  <c r="AS29" i="3"/>
  <c r="AS27" i="3"/>
  <c r="AS26" i="3"/>
  <c r="AR26" i="3"/>
  <c r="AR29" i="3"/>
  <c r="AR28" i="3"/>
  <c r="AR27" i="3"/>
  <c r="AO29" i="3"/>
  <c r="AO28" i="3"/>
  <c r="AO27" i="3"/>
  <c r="AO26" i="3"/>
  <c r="AN29" i="3"/>
  <c r="AN28" i="3"/>
  <c r="AN27" i="3"/>
  <c r="AN26" i="3"/>
  <c r="AM29" i="3"/>
  <c r="AM28" i="3"/>
  <c r="AM27" i="3"/>
  <c r="AM26" i="3"/>
  <c r="AL29" i="3"/>
  <c r="AL28" i="3"/>
  <c r="AL27" i="3"/>
  <c r="AL26" i="3"/>
  <c r="AK29" i="3"/>
  <c r="AK28" i="3"/>
  <c r="AK27" i="3"/>
  <c r="AK26" i="3"/>
  <c r="AJ29" i="3"/>
  <c r="AJ28" i="3"/>
  <c r="AJ27" i="3"/>
  <c r="AJ26" i="3"/>
  <c r="AI29" i="3"/>
  <c r="AI28" i="3"/>
  <c r="AI27" i="3"/>
  <c r="AI26" i="3"/>
  <c r="AH29" i="3"/>
  <c r="AH28" i="3"/>
  <c r="AH27" i="3"/>
  <c r="AH26" i="3"/>
  <c r="AG29" i="3"/>
  <c r="AG28" i="3"/>
  <c r="AG27" i="3"/>
  <c r="AG26" i="3"/>
  <c r="AF29" i="3"/>
  <c r="AF28" i="3"/>
  <c r="AF27" i="3"/>
  <c r="AF26" i="3"/>
  <c r="AE29" i="3"/>
  <c r="AE28" i="3"/>
  <c r="AE27" i="3"/>
  <c r="AE26" i="3"/>
  <c r="AD29" i="3"/>
  <c r="AD28" i="3"/>
  <c r="AD27" i="3"/>
  <c r="AD26" i="3"/>
  <c r="AC29" i="3"/>
  <c r="AC28" i="3"/>
  <c r="AC27" i="3"/>
  <c r="AC26" i="3"/>
  <c r="AB29" i="3"/>
  <c r="AB28" i="3"/>
  <c r="AB27" i="3"/>
  <c r="AB26" i="3"/>
  <c r="AA26" i="3"/>
  <c r="AA29" i="3"/>
  <c r="AA28" i="3"/>
  <c r="AA27" i="3"/>
  <c r="Q29" i="3"/>
  <c r="W29" i="3"/>
  <c r="W28" i="3"/>
  <c r="W27" i="3"/>
  <c r="V29" i="3"/>
  <c r="V28" i="3"/>
  <c r="V27" i="3"/>
  <c r="U29" i="3"/>
  <c r="U28" i="3"/>
  <c r="U27" i="3"/>
  <c r="T29" i="3"/>
  <c r="T28" i="3"/>
  <c r="T27" i="3"/>
  <c r="S29" i="3"/>
  <c r="S28" i="3"/>
  <c r="S27" i="3"/>
  <c r="R29" i="3"/>
  <c r="R28" i="3"/>
  <c r="R27" i="3"/>
  <c r="Q28" i="3"/>
  <c r="Q27" i="3"/>
  <c r="Q26" i="3"/>
  <c r="P29" i="3"/>
  <c r="P28" i="3"/>
  <c r="P27" i="3"/>
  <c r="O29" i="3"/>
  <c r="O27" i="3"/>
  <c r="O28" i="3"/>
  <c r="O26" i="3"/>
  <c r="N27" i="3"/>
  <c r="N28" i="3"/>
  <c r="N29" i="3"/>
  <c r="J29" i="3"/>
  <c r="K29" i="3"/>
  <c r="M27" i="3"/>
  <c r="M28" i="3"/>
  <c r="M29" i="3"/>
  <c r="X29" i="3"/>
  <c r="X28" i="3"/>
  <c r="X27" i="3"/>
  <c r="X26" i="3"/>
  <c r="W26" i="3"/>
  <c r="V26" i="3"/>
  <c r="U26" i="3"/>
  <c r="T26" i="3"/>
  <c r="S26" i="3"/>
  <c r="R26" i="3"/>
  <c r="P26" i="3"/>
  <c r="N26" i="3"/>
  <c r="M26" i="3"/>
  <c r="L29" i="3"/>
  <c r="L28" i="3"/>
  <c r="L27" i="3"/>
  <c r="L26" i="3"/>
  <c r="K28" i="3"/>
  <c r="K27" i="3"/>
  <c r="K26" i="3"/>
  <c r="J26" i="3"/>
  <c r="J28" i="3" a="1"/>
  <c r="J28" i="3" s="1"/>
  <c r="J27" i="3" a="1"/>
  <c r="J27" i="3" s="1"/>
  <c r="E21" i="3"/>
  <c r="C26" i="3" s="1"/>
  <c r="C22" i="3"/>
  <c r="C23" i="3"/>
  <c r="C16" i="3"/>
  <c r="O30" i="3" s="1"/>
  <c r="C13" i="3"/>
  <c r="BF25" i="8" l="1"/>
  <c r="L77" i="8" s="1"/>
  <c r="C26" i="8"/>
  <c r="E45" i="8" s="1"/>
  <c r="F45" i="8" s="1"/>
  <c r="O30" i="8"/>
  <c r="O25" i="8" s="1"/>
  <c r="L38" i="8" s="1"/>
  <c r="W30" i="8"/>
  <c r="W25" i="8" s="1"/>
  <c r="L46" i="8" s="1"/>
  <c r="AG30" i="8"/>
  <c r="AG25" i="8" s="1"/>
  <c r="L54" i="8" s="1"/>
  <c r="AO30" i="8"/>
  <c r="AO25" i="8" s="1"/>
  <c r="L62" i="8" s="1"/>
  <c r="AY30" i="8"/>
  <c r="AY25" i="8" s="1"/>
  <c r="L70" i="8" s="1"/>
  <c r="P30" i="8"/>
  <c r="P25" i="8" s="1"/>
  <c r="L39" i="8" s="1"/>
  <c r="X30" i="8"/>
  <c r="X25" i="8" s="1"/>
  <c r="L47" i="8" s="1"/>
  <c r="AH30" i="8"/>
  <c r="AH25" i="8" s="1"/>
  <c r="L55" i="8" s="1"/>
  <c r="C24" i="8" s="1" a="1"/>
  <c r="C24" i="8" s="1"/>
  <c r="AR30" i="8"/>
  <c r="AR25" i="8" s="1"/>
  <c r="L63" i="8" s="1"/>
  <c r="AZ30" i="8"/>
  <c r="AZ25" i="8" s="1"/>
  <c r="L71" i="8" s="1"/>
  <c r="C33" i="8"/>
  <c r="Q30" i="8"/>
  <c r="Q25" i="8" s="1"/>
  <c r="L40" i="8" s="1"/>
  <c r="AA30" i="8"/>
  <c r="AA25" i="8" s="1"/>
  <c r="L48" i="8" s="1"/>
  <c r="AI30" i="8"/>
  <c r="AI25" i="8" s="1"/>
  <c r="L56" i="8" s="1"/>
  <c r="AS30" i="8"/>
  <c r="AS25" i="8" s="1"/>
  <c r="L64" i="8" s="1"/>
  <c r="BA30" i="8"/>
  <c r="BA25" i="8" s="1"/>
  <c r="L72" i="8" s="1"/>
  <c r="J30" i="8"/>
  <c r="J25" i="8" s="1"/>
  <c r="L33" i="8" s="1"/>
  <c r="R30" i="8"/>
  <c r="R25" i="8" s="1"/>
  <c r="L41" i="8" s="1"/>
  <c r="AB30" i="8"/>
  <c r="AB25" i="8" s="1"/>
  <c r="L49" i="8" s="1"/>
  <c r="AJ30" i="8"/>
  <c r="AJ25" i="8" s="1"/>
  <c r="L57" i="8" s="1"/>
  <c r="AT30" i="8"/>
  <c r="AT25" i="8" s="1"/>
  <c r="L65" i="8" s="1"/>
  <c r="BB30" i="8"/>
  <c r="BB25" i="8" s="1"/>
  <c r="L73" i="8" s="1"/>
  <c r="K30" i="8"/>
  <c r="K25" i="8" s="1"/>
  <c r="L34" i="8" s="1"/>
  <c r="S30" i="8"/>
  <c r="S25" i="8" s="1"/>
  <c r="L42" i="8" s="1"/>
  <c r="AC30" i="8"/>
  <c r="AC25" i="8" s="1"/>
  <c r="L50" i="8" s="1"/>
  <c r="AK30" i="8"/>
  <c r="AK25" i="8" s="1"/>
  <c r="L58" i="8" s="1"/>
  <c r="AU30" i="8"/>
  <c r="AU25" i="8" s="1"/>
  <c r="L66" i="8" s="1"/>
  <c r="BC30" i="8"/>
  <c r="BC25" i="8" s="1"/>
  <c r="L74" i="8" s="1"/>
  <c r="L30" i="8"/>
  <c r="L25" i="8" s="1"/>
  <c r="L35" i="8" s="1"/>
  <c r="T30" i="8"/>
  <c r="T25" i="8" s="1"/>
  <c r="L43" i="8" s="1"/>
  <c r="AD30" i="8"/>
  <c r="AD25" i="8" s="1"/>
  <c r="L51" i="8" s="1"/>
  <c r="AL30" i="8"/>
  <c r="AL25" i="8" s="1"/>
  <c r="L59" i="8" s="1"/>
  <c r="AV30" i="8"/>
  <c r="AV25" i="8" s="1"/>
  <c r="L67" i="8" s="1"/>
  <c r="BD30" i="8"/>
  <c r="BD25" i="8" s="1"/>
  <c r="L75" i="8" s="1"/>
  <c r="M30" i="8"/>
  <c r="M25" i="8" s="1"/>
  <c r="L36" i="8" s="1"/>
  <c r="U30" i="8"/>
  <c r="U25" i="8" s="1"/>
  <c r="L44" i="8" s="1"/>
  <c r="AE30" i="8"/>
  <c r="AE25" i="8" s="1"/>
  <c r="L52" i="8" s="1"/>
  <c r="AM30" i="8"/>
  <c r="AM25" i="8" s="1"/>
  <c r="L60" i="8" s="1"/>
  <c r="AW30" i="8"/>
  <c r="AW25" i="8" s="1"/>
  <c r="L68" i="8" s="1"/>
  <c r="BE30" i="8"/>
  <c r="BE25" i="8" s="1"/>
  <c r="L76" i="8" s="1"/>
  <c r="N30" i="8"/>
  <c r="N25" i="8" s="1"/>
  <c r="L37" i="8" s="1"/>
  <c r="V30" i="8"/>
  <c r="V25" i="8" s="1"/>
  <c r="L45" i="8" s="1"/>
  <c r="AF30" i="8"/>
  <c r="AF25" i="8" s="1"/>
  <c r="L53" i="8" s="1"/>
  <c r="AN30" i="8"/>
  <c r="AN25" i="8" s="1"/>
  <c r="L61" i="8" s="1"/>
  <c r="AX30" i="8"/>
  <c r="AX25" i="8" s="1"/>
  <c r="L69" i="8" s="1"/>
  <c r="AT30" i="7"/>
  <c r="AT25" i="7" s="1"/>
  <c r="L65" i="7" s="1"/>
  <c r="BB30" i="7"/>
  <c r="BB25" i="7" s="1"/>
  <c r="L73" i="7" s="1"/>
  <c r="AJ30" i="7"/>
  <c r="AJ25" i="7" s="1"/>
  <c r="L57" i="7" s="1"/>
  <c r="J30" i="7"/>
  <c r="J25" i="7" s="1"/>
  <c r="L33" i="7" s="1"/>
  <c r="R30" i="7"/>
  <c r="R25" i="7" s="1"/>
  <c r="L41" i="7" s="1"/>
  <c r="C34" i="7"/>
  <c r="BA25" i="7"/>
  <c r="L72" i="7" s="1"/>
  <c r="AB30" i="7"/>
  <c r="AB25" i="7" s="1"/>
  <c r="L49" i="7" s="1"/>
  <c r="K30" i="7"/>
  <c r="K25" i="7" s="1"/>
  <c r="L34" i="7" s="1"/>
  <c r="S30" i="7"/>
  <c r="S25" i="7" s="1"/>
  <c r="L42" i="7" s="1"/>
  <c r="AC30" i="7"/>
  <c r="AC25" i="7" s="1"/>
  <c r="L50" i="7" s="1"/>
  <c r="AK30" i="7"/>
  <c r="AK25" i="7" s="1"/>
  <c r="L58" i="7" s="1"/>
  <c r="AU30" i="7"/>
  <c r="AU25" i="7" s="1"/>
  <c r="L66" i="7" s="1"/>
  <c r="BC30" i="7"/>
  <c r="BC25" i="7" s="1"/>
  <c r="L74" i="7" s="1"/>
  <c r="L30" i="7"/>
  <c r="L25" i="7" s="1"/>
  <c r="L35" i="7" s="1"/>
  <c r="T30" i="7"/>
  <c r="T25" i="7" s="1"/>
  <c r="L43" i="7" s="1"/>
  <c r="AD30" i="7"/>
  <c r="AD25" i="7" s="1"/>
  <c r="L51" i="7" s="1"/>
  <c r="AL30" i="7"/>
  <c r="AL25" i="7" s="1"/>
  <c r="L59" i="7" s="1"/>
  <c r="AV30" i="7"/>
  <c r="AV25" i="7" s="1"/>
  <c r="L67" i="7" s="1"/>
  <c r="BD30" i="7"/>
  <c r="BD25" i="7" s="1"/>
  <c r="L75" i="7" s="1"/>
  <c r="C25" i="7"/>
  <c r="E44" i="7" s="1"/>
  <c r="F44" i="7" s="1"/>
  <c r="M30" i="7"/>
  <c r="M25" i="7" s="1"/>
  <c r="L36" i="7" s="1"/>
  <c r="U30" i="7"/>
  <c r="U25" i="7" s="1"/>
  <c r="L44" i="7" s="1"/>
  <c r="AE30" i="7"/>
  <c r="AE25" i="7" s="1"/>
  <c r="L52" i="7" s="1"/>
  <c r="AM30" i="7"/>
  <c r="AM25" i="7" s="1"/>
  <c r="L60" i="7" s="1"/>
  <c r="AW30" i="7"/>
  <c r="AW25" i="7" s="1"/>
  <c r="L68" i="7" s="1"/>
  <c r="BE30" i="7"/>
  <c r="BE25" i="7" s="1"/>
  <c r="L76" i="7" s="1"/>
  <c r="N30" i="7"/>
  <c r="N25" i="7" s="1"/>
  <c r="L37" i="7" s="1"/>
  <c r="V30" i="7"/>
  <c r="V25" i="7" s="1"/>
  <c r="L45" i="7" s="1"/>
  <c r="AF30" i="7"/>
  <c r="AF25" i="7" s="1"/>
  <c r="L53" i="7" s="1"/>
  <c r="AN30" i="7"/>
  <c r="AN25" i="7" s="1"/>
  <c r="L61" i="7" s="1"/>
  <c r="AX30" i="7"/>
  <c r="AX25" i="7" s="1"/>
  <c r="L69" i="7" s="1"/>
  <c r="BF30" i="7"/>
  <c r="BF25" i="7" s="1"/>
  <c r="L77" i="7" s="1"/>
  <c r="O30" i="7"/>
  <c r="O25" i="7" s="1"/>
  <c r="L38" i="7" s="1"/>
  <c r="W30" i="7"/>
  <c r="W25" i="7" s="1"/>
  <c r="L46" i="7" s="1"/>
  <c r="AG30" i="7"/>
  <c r="AG25" i="7" s="1"/>
  <c r="L54" i="7" s="1"/>
  <c r="AO30" i="7"/>
  <c r="AO25" i="7" s="1"/>
  <c r="L62" i="7" s="1"/>
  <c r="AY30" i="7"/>
  <c r="AY25" i="7" s="1"/>
  <c r="L70" i="7" s="1"/>
  <c r="P30" i="7"/>
  <c r="P25" i="7" s="1"/>
  <c r="L39" i="7" s="1"/>
  <c r="X30" i="7"/>
  <c r="X25" i="7" s="1"/>
  <c r="L47" i="7" s="1"/>
  <c r="AH30" i="7"/>
  <c r="AH25" i="7" s="1"/>
  <c r="L55" i="7" s="1"/>
  <c r="AR30" i="7"/>
  <c r="AR25" i="7" s="1"/>
  <c r="L63" i="7" s="1"/>
  <c r="AZ30" i="7"/>
  <c r="AZ25" i="7" s="1"/>
  <c r="L71" i="7" s="1"/>
  <c r="C33" i="7"/>
  <c r="Q30" i="7"/>
  <c r="Q25" i="7" s="1"/>
  <c r="L40" i="7" s="1"/>
  <c r="C24" i="7" s="1" a="1"/>
  <c r="C24" i="7" s="1"/>
  <c r="AA30" i="7"/>
  <c r="AA25" i="7" s="1"/>
  <c r="L48" i="7" s="1"/>
  <c r="AI30" i="7"/>
  <c r="AI25" i="7" s="1"/>
  <c r="L56" i="7" s="1"/>
  <c r="AS30" i="7"/>
  <c r="AS25" i="7" s="1"/>
  <c r="L64" i="7" s="1"/>
  <c r="C34" i="6"/>
  <c r="C25" i="6"/>
  <c r="E45" i="6" s="1"/>
  <c r="F45" i="6" s="1"/>
  <c r="BA25" i="6"/>
  <c r="L72" i="6" s="1"/>
  <c r="R30" i="6"/>
  <c r="R25" i="6" s="1"/>
  <c r="L41" i="6" s="1"/>
  <c r="AJ30" i="6"/>
  <c r="AJ25" i="6" s="1"/>
  <c r="L57" i="6" s="1"/>
  <c r="AT30" i="6"/>
  <c r="AT25" i="6" s="1"/>
  <c r="L65" i="6" s="1"/>
  <c r="K30" i="6"/>
  <c r="K25" i="6" s="1"/>
  <c r="L34" i="6" s="1"/>
  <c r="S30" i="6"/>
  <c r="S25" i="6" s="1"/>
  <c r="L42" i="6" s="1"/>
  <c r="AC30" i="6"/>
  <c r="AC25" i="6" s="1"/>
  <c r="L50" i="6" s="1"/>
  <c r="AK30" i="6"/>
  <c r="AK25" i="6" s="1"/>
  <c r="L58" i="6" s="1"/>
  <c r="AU30" i="6"/>
  <c r="AU25" i="6" s="1"/>
  <c r="L66" i="6" s="1"/>
  <c r="BC30" i="6"/>
  <c r="BC25" i="6" s="1"/>
  <c r="L74" i="6" s="1"/>
  <c r="J30" i="6"/>
  <c r="J25" i="6" s="1"/>
  <c r="L33" i="6" s="1"/>
  <c r="AB30" i="6"/>
  <c r="AB25" i="6" s="1"/>
  <c r="L49" i="6" s="1"/>
  <c r="BB30" i="6"/>
  <c r="BB25" i="6" s="1"/>
  <c r="L73" i="6" s="1"/>
  <c r="L30" i="6"/>
  <c r="L25" i="6" s="1"/>
  <c r="L35" i="6" s="1"/>
  <c r="T30" i="6"/>
  <c r="T25" i="6" s="1"/>
  <c r="L43" i="6" s="1"/>
  <c r="AD30" i="6"/>
  <c r="AD25" i="6" s="1"/>
  <c r="L51" i="6" s="1"/>
  <c r="AL30" i="6"/>
  <c r="AL25" i="6" s="1"/>
  <c r="L59" i="6" s="1"/>
  <c r="AV30" i="6"/>
  <c r="AV25" i="6" s="1"/>
  <c r="L67" i="6" s="1"/>
  <c r="BD30" i="6"/>
  <c r="BD25" i="6" s="1"/>
  <c r="L75" i="6" s="1"/>
  <c r="M30" i="6"/>
  <c r="M25" i="6" s="1"/>
  <c r="L36" i="6" s="1"/>
  <c r="U30" i="6"/>
  <c r="U25" i="6" s="1"/>
  <c r="L44" i="6" s="1"/>
  <c r="AE30" i="6"/>
  <c r="AE25" i="6" s="1"/>
  <c r="L52" i="6" s="1"/>
  <c r="AM30" i="6"/>
  <c r="AM25" i="6" s="1"/>
  <c r="L60" i="6" s="1"/>
  <c r="AW30" i="6"/>
  <c r="AW25" i="6" s="1"/>
  <c r="L68" i="6" s="1"/>
  <c r="BE30" i="6"/>
  <c r="BE25" i="6" s="1"/>
  <c r="L76" i="6" s="1"/>
  <c r="N30" i="6"/>
  <c r="N25" i="6" s="1"/>
  <c r="L37" i="6" s="1"/>
  <c r="V30" i="6"/>
  <c r="V25" i="6" s="1"/>
  <c r="L45" i="6" s="1"/>
  <c r="AF30" i="6"/>
  <c r="AF25" i="6" s="1"/>
  <c r="L53" i="6" s="1"/>
  <c r="AN30" i="6"/>
  <c r="AN25" i="6" s="1"/>
  <c r="L61" i="6" s="1"/>
  <c r="AX30" i="6"/>
  <c r="AX25" i="6" s="1"/>
  <c r="L69" i="6" s="1"/>
  <c r="BF30" i="6"/>
  <c r="BF25" i="6" s="1"/>
  <c r="L77" i="6" s="1"/>
  <c r="O30" i="6"/>
  <c r="O25" i="6" s="1"/>
  <c r="L38" i="6" s="1"/>
  <c r="W30" i="6"/>
  <c r="W25" i="6" s="1"/>
  <c r="L46" i="6" s="1"/>
  <c r="AG30" i="6"/>
  <c r="AG25" i="6" s="1"/>
  <c r="L54" i="6" s="1"/>
  <c r="AO30" i="6"/>
  <c r="AO25" i="6" s="1"/>
  <c r="L62" i="6" s="1"/>
  <c r="AY30" i="6"/>
  <c r="AY25" i="6" s="1"/>
  <c r="L70" i="6" s="1"/>
  <c r="P30" i="6"/>
  <c r="P25" i="6" s="1"/>
  <c r="L39" i="6" s="1"/>
  <c r="X30" i="6"/>
  <c r="X25" i="6" s="1"/>
  <c r="L47" i="6" s="1"/>
  <c r="AH30" i="6"/>
  <c r="AH25" i="6" s="1"/>
  <c r="L55" i="6" s="1"/>
  <c r="AR30" i="6"/>
  <c r="AR25" i="6" s="1"/>
  <c r="L63" i="6" s="1"/>
  <c r="AZ30" i="6"/>
  <c r="AZ25" i="6" s="1"/>
  <c r="L71" i="6" s="1"/>
  <c r="C33" i="6"/>
  <c r="Q30" i="6"/>
  <c r="Q25" i="6" s="1"/>
  <c r="L40" i="6" s="1"/>
  <c r="AA30" i="6"/>
  <c r="AA25" i="6" s="1"/>
  <c r="L48" i="6" s="1"/>
  <c r="AI30" i="6"/>
  <c r="AI25" i="6" s="1"/>
  <c r="L56" i="6" s="1"/>
  <c r="AS30" i="6"/>
  <c r="AS25" i="6" s="1"/>
  <c r="L64" i="6" s="1"/>
  <c r="BF25" i="5"/>
  <c r="L77" i="5" s="1"/>
  <c r="C34" i="5"/>
  <c r="C25" i="5"/>
  <c r="E44" i="5" s="1"/>
  <c r="F44" i="5" s="1"/>
  <c r="O30" i="5"/>
  <c r="O25" i="5" s="1"/>
  <c r="L38" i="5" s="1"/>
  <c r="W30" i="5"/>
  <c r="W25" i="5" s="1"/>
  <c r="L46" i="5" s="1"/>
  <c r="AG30" i="5"/>
  <c r="AG25" i="5" s="1"/>
  <c r="L54" i="5" s="1"/>
  <c r="AO30" i="5"/>
  <c r="AO25" i="5" s="1"/>
  <c r="L62" i="5" s="1"/>
  <c r="AY30" i="5"/>
  <c r="AY25" i="5" s="1"/>
  <c r="L70" i="5" s="1"/>
  <c r="P30" i="5"/>
  <c r="P25" i="5" s="1"/>
  <c r="L39" i="5" s="1"/>
  <c r="X30" i="5"/>
  <c r="X25" i="5" s="1"/>
  <c r="L47" i="5" s="1"/>
  <c r="AH30" i="5"/>
  <c r="AH25" i="5" s="1"/>
  <c r="L55" i="5" s="1"/>
  <c r="AR30" i="5"/>
  <c r="AR25" i="5" s="1"/>
  <c r="L63" i="5" s="1"/>
  <c r="AZ30" i="5"/>
  <c r="AZ25" i="5" s="1"/>
  <c r="L71" i="5" s="1"/>
  <c r="C33" i="5"/>
  <c r="Q30" i="5"/>
  <c r="Q25" i="5" s="1"/>
  <c r="L40" i="5" s="1"/>
  <c r="AA30" i="5"/>
  <c r="AA25" i="5" s="1"/>
  <c r="L48" i="5" s="1"/>
  <c r="AI30" i="5"/>
  <c r="AI25" i="5" s="1"/>
  <c r="L56" i="5" s="1"/>
  <c r="AS30" i="5"/>
  <c r="AS25" i="5" s="1"/>
  <c r="L64" i="5" s="1"/>
  <c r="BA30" i="5"/>
  <c r="BA25" i="5" s="1"/>
  <c r="L72" i="5" s="1"/>
  <c r="J30" i="5"/>
  <c r="J25" i="5" s="1"/>
  <c r="L33" i="5" s="1"/>
  <c r="R30" i="5"/>
  <c r="R25" i="5" s="1"/>
  <c r="L41" i="5" s="1"/>
  <c r="AB30" i="5"/>
  <c r="AB25" i="5" s="1"/>
  <c r="L49" i="5" s="1"/>
  <c r="AJ30" i="5"/>
  <c r="AJ25" i="5" s="1"/>
  <c r="L57" i="5" s="1"/>
  <c r="AT30" i="5"/>
  <c r="AT25" i="5" s="1"/>
  <c r="L65" i="5" s="1"/>
  <c r="BB30" i="5"/>
  <c r="BB25" i="5" s="1"/>
  <c r="L73" i="5" s="1"/>
  <c r="K30" i="5"/>
  <c r="K25" i="5" s="1"/>
  <c r="L34" i="5" s="1"/>
  <c r="S30" i="5"/>
  <c r="S25" i="5" s="1"/>
  <c r="L42" i="5" s="1"/>
  <c r="AC30" i="5"/>
  <c r="AC25" i="5" s="1"/>
  <c r="L50" i="5" s="1"/>
  <c r="AK30" i="5"/>
  <c r="AK25" i="5" s="1"/>
  <c r="L58" i="5" s="1"/>
  <c r="AU30" i="5"/>
  <c r="AU25" i="5" s="1"/>
  <c r="L66" i="5" s="1"/>
  <c r="BC30" i="5"/>
  <c r="BC25" i="5" s="1"/>
  <c r="L74" i="5" s="1"/>
  <c r="L30" i="5"/>
  <c r="L25" i="5" s="1"/>
  <c r="L35" i="5" s="1"/>
  <c r="T30" i="5"/>
  <c r="T25" i="5" s="1"/>
  <c r="L43" i="5" s="1"/>
  <c r="AD30" i="5"/>
  <c r="AD25" i="5" s="1"/>
  <c r="L51" i="5" s="1"/>
  <c r="AL30" i="5"/>
  <c r="AL25" i="5" s="1"/>
  <c r="L59" i="5" s="1"/>
  <c r="AV30" i="5"/>
  <c r="AV25" i="5" s="1"/>
  <c r="L67" i="5" s="1"/>
  <c r="BD30" i="5"/>
  <c r="BD25" i="5" s="1"/>
  <c r="L75" i="5" s="1"/>
  <c r="M30" i="5"/>
  <c r="M25" i="5" s="1"/>
  <c r="L36" i="5" s="1"/>
  <c r="U30" i="5"/>
  <c r="U25" i="5" s="1"/>
  <c r="L44" i="5" s="1"/>
  <c r="AE30" i="5"/>
  <c r="AE25" i="5" s="1"/>
  <c r="L52" i="5" s="1"/>
  <c r="C24" i="5" s="1" a="1"/>
  <c r="C24" i="5" s="1"/>
  <c r="AM30" i="5"/>
  <c r="AM25" i="5" s="1"/>
  <c r="L60" i="5" s="1"/>
  <c r="AW30" i="5"/>
  <c r="AW25" i="5" s="1"/>
  <c r="L68" i="5" s="1"/>
  <c r="BE30" i="5"/>
  <c r="BE25" i="5" s="1"/>
  <c r="L76" i="5" s="1"/>
  <c r="N30" i="5"/>
  <c r="N25" i="5" s="1"/>
  <c r="L37" i="5" s="1"/>
  <c r="V30" i="5"/>
  <c r="V25" i="5" s="1"/>
  <c r="L45" i="5" s="1"/>
  <c r="AF30" i="5"/>
  <c r="AF25" i="5" s="1"/>
  <c r="L53" i="5" s="1"/>
  <c r="AN30" i="5"/>
  <c r="AN25" i="5" s="1"/>
  <c r="L61" i="5" s="1"/>
  <c r="AX30" i="5"/>
  <c r="AX25" i="5" s="1"/>
  <c r="L69" i="5" s="1"/>
  <c r="X30" i="3"/>
  <c r="X25" i="3" s="1"/>
  <c r="L47" i="3" s="1"/>
  <c r="AG30" i="3"/>
  <c r="AG25" i="3" s="1"/>
  <c r="L54" i="3" s="1"/>
  <c r="AO30" i="3"/>
  <c r="AO25" i="3" s="1"/>
  <c r="L62" i="3" s="1"/>
  <c r="AU30" i="3"/>
  <c r="AU25" i="3" s="1"/>
  <c r="L66" i="3" s="1"/>
  <c r="BC30" i="3"/>
  <c r="J30" i="3"/>
  <c r="J25" i="3" s="1"/>
  <c r="L33" i="3" s="1"/>
  <c r="P30" i="3"/>
  <c r="P25" i="3" s="1"/>
  <c r="L39" i="3" s="1"/>
  <c r="AH30" i="3"/>
  <c r="AH25" i="3" s="1"/>
  <c r="L55" i="3" s="1"/>
  <c r="AV30" i="3"/>
  <c r="AV25" i="3" s="1"/>
  <c r="L67" i="3" s="1"/>
  <c r="BD30" i="3"/>
  <c r="BD25" i="3" s="1"/>
  <c r="L75" i="3" s="1"/>
  <c r="AA30" i="3"/>
  <c r="AA25" i="3" s="1"/>
  <c r="L48" i="3" s="1"/>
  <c r="AI30" i="3"/>
  <c r="AI25" i="3" s="1"/>
  <c r="L56" i="3" s="1"/>
  <c r="AW30" i="3"/>
  <c r="AW25" i="3" s="1"/>
  <c r="L68" i="3" s="1"/>
  <c r="BE30" i="3"/>
  <c r="BE25" i="3" s="1"/>
  <c r="L76" i="3" s="1"/>
  <c r="AX30" i="3"/>
  <c r="AX25" i="3" s="1"/>
  <c r="L69" i="3" s="1"/>
  <c r="BF30" i="3"/>
  <c r="BF25" i="3" s="1"/>
  <c r="L77" i="3" s="1"/>
  <c r="AY30" i="3"/>
  <c r="AY25" i="3" s="1"/>
  <c r="L70" i="3" s="1"/>
  <c r="AR30" i="3"/>
  <c r="AR25" i="3" s="1"/>
  <c r="L63" i="3" s="1"/>
  <c r="AZ30" i="3"/>
  <c r="AZ25" i="3" s="1"/>
  <c r="L71" i="3" s="1"/>
  <c r="K30" i="3"/>
  <c r="K25" i="3" s="1"/>
  <c r="L34" i="3" s="1"/>
  <c r="S30" i="3"/>
  <c r="S25" i="3" s="1"/>
  <c r="L42" i="3" s="1"/>
  <c r="AB30" i="3"/>
  <c r="AB25" i="3" s="1"/>
  <c r="L49" i="3" s="1"/>
  <c r="AJ30" i="3"/>
  <c r="AJ25" i="3" s="1"/>
  <c r="L57" i="3" s="1"/>
  <c r="AC30" i="3"/>
  <c r="AC25" i="3" s="1"/>
  <c r="L50" i="3" s="1"/>
  <c r="AK30" i="3"/>
  <c r="AK25" i="3" s="1"/>
  <c r="L58" i="3" s="1"/>
  <c r="AD30" i="3"/>
  <c r="AD25" i="3" s="1"/>
  <c r="L51" i="3" s="1"/>
  <c r="AL30" i="3"/>
  <c r="AL25" i="3" s="1"/>
  <c r="L59" i="3" s="1"/>
  <c r="M30" i="3"/>
  <c r="M25" i="3" s="1"/>
  <c r="L36" i="3" s="1"/>
  <c r="V30" i="3"/>
  <c r="V25" i="3" s="1"/>
  <c r="L45" i="3" s="1"/>
  <c r="Q30" i="3"/>
  <c r="Q25" i="3" s="1"/>
  <c r="L40" i="3" s="1"/>
  <c r="AE30" i="3"/>
  <c r="AE25" i="3" s="1"/>
  <c r="L52" i="3" s="1"/>
  <c r="AM30" i="3"/>
  <c r="AM25" i="3" s="1"/>
  <c r="L60" i="3" s="1"/>
  <c r="AS30" i="3"/>
  <c r="AS25" i="3" s="1"/>
  <c r="L64" i="3" s="1"/>
  <c r="BA30" i="3"/>
  <c r="BA25" i="3" s="1"/>
  <c r="L72" i="3" s="1"/>
  <c r="R30" i="3"/>
  <c r="R25" i="3" s="1"/>
  <c r="L41" i="3" s="1"/>
  <c r="T30" i="3"/>
  <c r="T25" i="3" s="1"/>
  <c r="L43" i="3" s="1"/>
  <c r="L30" i="3"/>
  <c r="L25" i="3" s="1"/>
  <c r="L35" i="3" s="1"/>
  <c r="U30" i="3"/>
  <c r="U25" i="3" s="1"/>
  <c r="L44" i="3" s="1"/>
  <c r="N30" i="3"/>
  <c r="N25" i="3" s="1"/>
  <c r="L37" i="3" s="1"/>
  <c r="W30" i="3"/>
  <c r="W25" i="3" s="1"/>
  <c r="L46" i="3" s="1"/>
  <c r="AF30" i="3"/>
  <c r="AF25" i="3" s="1"/>
  <c r="L53" i="3" s="1"/>
  <c r="AN30" i="3"/>
  <c r="AN25" i="3" s="1"/>
  <c r="L61" i="3" s="1"/>
  <c r="AT30" i="3"/>
  <c r="AT25" i="3" s="1"/>
  <c r="L65" i="3" s="1"/>
  <c r="BB30" i="3"/>
  <c r="BB25" i="3" s="1"/>
  <c r="L73" i="3" s="1"/>
  <c r="BC25" i="3"/>
  <c r="L74" i="3" s="1"/>
  <c r="O25" i="3"/>
  <c r="L38" i="3" s="1"/>
  <c r="C25" i="3"/>
  <c r="E45" i="3" s="1"/>
  <c r="F45" i="3" s="1"/>
  <c r="C34" i="3"/>
  <c r="C33" i="3"/>
  <c r="E44" i="8" l="1"/>
  <c r="F44" i="8" s="1"/>
  <c r="E45" i="7"/>
  <c r="F45" i="7" s="1"/>
  <c r="E45" i="5"/>
  <c r="F45" i="5" s="1"/>
  <c r="E38" i="8"/>
  <c r="C32" i="8"/>
  <c r="E38" i="7"/>
  <c r="C32" i="7"/>
  <c r="C24" i="6" a="1"/>
  <c r="C24" i="6" s="1"/>
  <c r="C32" i="6" s="1"/>
  <c r="E38" i="5"/>
  <c r="C32" i="5"/>
  <c r="C24" i="3" a="1"/>
  <c r="C24" i="3" s="1"/>
  <c r="E38" i="3" s="1"/>
  <c r="E44" i="3"/>
  <c r="F44" i="3" s="1"/>
  <c r="C40" i="8" l="1"/>
  <c r="C40" i="7"/>
  <c r="E38" i="6"/>
  <c r="C40" i="6" s="1"/>
  <c r="C47" i="6" s="1"/>
  <c r="C40" i="5"/>
  <c r="C40" i="3"/>
  <c r="C32" i="3"/>
  <c r="E39" i="8" l="1"/>
  <c r="E39" i="5"/>
  <c r="E40" i="3"/>
  <c r="E40" i="8"/>
  <c r="C45" i="8"/>
  <c r="C47" i="8" s="1"/>
  <c r="C45" i="7"/>
  <c r="C47" i="7" s="1"/>
  <c r="E40" i="7"/>
  <c r="E39" i="7"/>
  <c r="C45" i="6"/>
  <c r="E40" i="6"/>
  <c r="E39" i="6"/>
  <c r="E40" i="5"/>
  <c r="C45" i="5"/>
  <c r="C47" i="5" s="1"/>
  <c r="C45" i="3"/>
  <c r="C47" i="3" s="1"/>
  <c r="E39" i="3"/>
  <c r="E41" i="3" s="1"/>
  <c r="C39" i="3" s="1"/>
  <c r="E41" i="8" l="1"/>
  <c r="C39" i="8" s="1"/>
  <c r="C44" i="8" s="1"/>
  <c r="E41" i="5"/>
  <c r="C39" i="5" s="1"/>
  <c r="C44" i="5" s="1"/>
  <c r="E41" i="7"/>
  <c r="C39" i="7" s="1"/>
  <c r="E41" i="6"/>
  <c r="C39" i="6" s="1"/>
  <c r="C46" i="6" s="1"/>
  <c r="C44" i="3"/>
  <c r="C46" i="3" s="1"/>
  <c r="C41" i="8" l="1"/>
  <c r="C42" i="8" s="1"/>
  <c r="C46" i="8"/>
  <c r="C41" i="5"/>
  <c r="C42" i="5" s="1"/>
  <c r="C46" i="5"/>
  <c r="C44" i="7"/>
  <c r="C46" i="7" s="1"/>
  <c r="C41" i="7"/>
  <c r="C44" i="6"/>
  <c r="C41" i="6"/>
  <c r="C41" i="3"/>
  <c r="C48" i="3" s="1"/>
  <c r="C49" i="3" s="1"/>
  <c r="C48" i="8" l="1"/>
  <c r="C49" i="8" s="1"/>
  <c r="C48" i="5"/>
  <c r="C49" i="5" s="1"/>
  <c r="C42" i="3"/>
  <c r="C48" i="7"/>
  <c r="C49" i="7" s="1"/>
  <c r="C42" i="7"/>
  <c r="C48" i="6"/>
  <c r="C49" i="6" s="1"/>
  <c r="C42" i="6"/>
  <c r="C24" i="24" l="1" a="1"/>
  <c r="C24" i="24" s="1"/>
  <c r="C32" i="24" l="1"/>
  <c r="E38" i="24"/>
  <c r="C40" i="24" s="1"/>
  <c r="C47" i="24" s="1"/>
  <c r="C45" i="24" l="1"/>
  <c r="E40" i="24"/>
  <c r="E39" i="24" s="1"/>
  <c r="E41" i="24" l="1"/>
  <c r="C39" i="24" s="1"/>
  <c r="C46" i="24" s="1"/>
  <c r="C44" i="24" l="1"/>
  <c r="C41" i="24" l="1"/>
  <c r="C42" i="24" l="1"/>
  <c r="C48" i="24"/>
  <c r="C49" i="24" s="1"/>
</calcChain>
</file>

<file path=xl/sharedStrings.xml><?xml version="1.0" encoding="utf-8"?>
<sst xmlns="http://schemas.openxmlformats.org/spreadsheetml/2006/main" count="6200" uniqueCount="1352">
  <si>
    <t>Work Plane</t>
  </si>
  <si>
    <t>fc</t>
  </si>
  <si>
    <t>Luminaire Height</t>
  </si>
  <si>
    <t>Coefficient of Utilization</t>
  </si>
  <si>
    <t>Room Cavity Ratio (RCR)</t>
  </si>
  <si>
    <t>ceiling reflectance (rc)</t>
  </si>
  <si>
    <t>wall reflectance (rw)</t>
  </si>
  <si>
    <t>floor reflectance (rf)</t>
  </si>
  <si>
    <t>ft</t>
  </si>
  <si>
    <t>Area:</t>
  </si>
  <si>
    <t># luminaires</t>
  </si>
  <si>
    <t>RC</t>
  </si>
  <si>
    <t>RW</t>
  </si>
  <si>
    <t>CU</t>
  </si>
  <si>
    <t>RCR</t>
  </si>
  <si>
    <t>RF</t>
  </si>
  <si>
    <t>CU1</t>
  </si>
  <si>
    <t>CU2</t>
  </si>
  <si>
    <t>CU3</t>
  </si>
  <si>
    <t>CU4</t>
  </si>
  <si>
    <t>CU5</t>
  </si>
  <si>
    <t>CU6</t>
  </si>
  <si>
    <t>CU7</t>
  </si>
  <si>
    <t>CU8</t>
  </si>
  <si>
    <t>CU9</t>
  </si>
  <si>
    <t>CU11</t>
  </si>
  <si>
    <t>CU10</t>
  </si>
  <si>
    <t>CU12</t>
  </si>
  <si>
    <t>CU13</t>
  </si>
  <si>
    <t>CU14</t>
  </si>
  <si>
    <t>Lumens</t>
  </si>
  <si>
    <t>Watts</t>
  </si>
  <si>
    <t>PBL 2 LW HE UV 835</t>
  </si>
  <si>
    <t>PBL 2 MD HE UV 835</t>
  </si>
  <si>
    <t>PBL 2W MH HE UV 835</t>
  </si>
  <si>
    <t>PBL 2W HI HE UV 835</t>
  </si>
  <si>
    <t>PBL 4 SL HE UV 835</t>
  </si>
  <si>
    <t>PBL 4 VL HE UV 835</t>
  </si>
  <si>
    <t>PBL 4 LW HE UV 835</t>
  </si>
  <si>
    <t>PBL 4 MD HE UV 835</t>
  </si>
  <si>
    <t>PBL 4 HI HE UV 835</t>
  </si>
  <si>
    <t>PBL 4W LW HE UV 835</t>
  </si>
  <si>
    <t>PBL 4W MD HE UV 835</t>
  </si>
  <si>
    <t>PBL 4W HI HE UV 835</t>
  </si>
  <si>
    <t>PBL 2 LW UV 835</t>
  </si>
  <si>
    <t>PBL 2 MD UV 835</t>
  </si>
  <si>
    <t>PBL 2W MH UV 835</t>
  </si>
  <si>
    <t>PBL 2W HI UV 835</t>
  </si>
  <si>
    <t>PBL 4 SL UV 835</t>
  </si>
  <si>
    <t>PBL 4 VL UV 835</t>
  </si>
  <si>
    <t>PBL 4 LW UV 835</t>
  </si>
  <si>
    <t>PBL 4 MD UV 835</t>
  </si>
  <si>
    <t>PBL 4 HI UV 835</t>
  </si>
  <si>
    <t>PBL 4W LW UV 835</t>
  </si>
  <si>
    <t>PBL 4W MD UV 835</t>
  </si>
  <si>
    <t>PBL 4W HI UV 835</t>
  </si>
  <si>
    <t>PBL 4W VH UV 835</t>
  </si>
  <si>
    <t>PBL 2 LW HE UV 840</t>
  </si>
  <si>
    <t>PBL 2 MD HE UV 840</t>
  </si>
  <si>
    <t>PBL 2W MH HE UV 840</t>
  </si>
  <si>
    <t>PBL 2W HI HE UV 840</t>
  </si>
  <si>
    <t>PBL 4 SL HE UV 840</t>
  </si>
  <si>
    <t>PBL 4 VL HE UV 840</t>
  </si>
  <si>
    <t>PBL 4 LW HE UV 840</t>
  </si>
  <si>
    <t>PBL 4 MD HE UV 840</t>
  </si>
  <si>
    <t>PBL 4 HI HE UV 840</t>
  </si>
  <si>
    <t>PBL 4W LW HE UV 840</t>
  </si>
  <si>
    <t>PBL 4W MD HE UV 840</t>
  </si>
  <si>
    <t>PBL 4W HI HE UV 840</t>
  </si>
  <si>
    <t>PBL 2 LW UV 840</t>
  </si>
  <si>
    <t>PBL 2 MD UV 840</t>
  </si>
  <si>
    <t>PBL 2W MH UV 840</t>
  </si>
  <si>
    <t>PBL 2W HI UV 840</t>
  </si>
  <si>
    <t>PBL 4 SL UV 840</t>
  </si>
  <si>
    <t>PBL 4 VL UV 840</t>
  </si>
  <si>
    <t>PBL 4 LW UV 840</t>
  </si>
  <si>
    <t>PBL 4 MD UV 840</t>
  </si>
  <si>
    <t>PBL 4 HI UV 840</t>
  </si>
  <si>
    <t>PBL 4W LW UV 840</t>
  </si>
  <si>
    <t>PBL 4W MD UV 840</t>
  </si>
  <si>
    <t>PBL 4W HI UV 840</t>
  </si>
  <si>
    <t>PBL 4W VH UV 840</t>
  </si>
  <si>
    <t>PBL 2 LW HE UV 850</t>
  </si>
  <si>
    <t>PBL 2 MD HE UV 850</t>
  </si>
  <si>
    <t>PBL 2W MH HE UV 850</t>
  </si>
  <si>
    <t>PBL 2W HI HE UV 850</t>
  </si>
  <si>
    <t>PBL 4 SL HE UV 850</t>
  </si>
  <si>
    <t>PBL 4 VL HE UV 850</t>
  </si>
  <si>
    <t>PBL 4 LW HE UV 850</t>
  </si>
  <si>
    <t>PBL 4 MD HE UV 850</t>
  </si>
  <si>
    <t>PBL 4 HI HE UV 850</t>
  </si>
  <si>
    <t>PBL 4W LW HE UV 850</t>
  </si>
  <si>
    <t>PBL 4W MD HE UV 850</t>
  </si>
  <si>
    <t>PBL 4W HI HE UV 850</t>
  </si>
  <si>
    <t>PBL 2 LW UV 850</t>
  </si>
  <si>
    <t>PBL 2 MD UV 850</t>
  </si>
  <si>
    <t>PBL 2W MH UV 850</t>
  </si>
  <si>
    <t>PBL 2W HI UV 850</t>
  </si>
  <si>
    <t>PBL 4 SL UV 850</t>
  </si>
  <si>
    <t>PBL 4 VL UV 850</t>
  </si>
  <si>
    <t>PBL 4 LW UV 850</t>
  </si>
  <si>
    <t>PBL 4 MD UV 850</t>
  </si>
  <si>
    <t>PBL 4 HI UV 850</t>
  </si>
  <si>
    <t>PBL 4W LW UV 850</t>
  </si>
  <si>
    <t>PBL 4W MD UV 850</t>
  </si>
  <si>
    <t>PBL 4W HI UV 850</t>
  </si>
  <si>
    <t>PBL 4W VH UV 850</t>
  </si>
  <si>
    <t>Model</t>
  </si>
  <si>
    <t>Room Area</t>
  </si>
  <si>
    <r>
      <t>ft</t>
    </r>
    <r>
      <rPr>
        <vertAlign val="superscript"/>
        <sz val="11"/>
        <color theme="1"/>
        <rFont val="Calibri"/>
        <family val="2"/>
        <scheme val="minor"/>
      </rPr>
      <t>2</t>
    </r>
  </si>
  <si>
    <t>LPD</t>
  </si>
  <si>
    <r>
      <t>W/ft</t>
    </r>
    <r>
      <rPr>
        <vertAlign val="superscript"/>
        <sz val="11"/>
        <color theme="1"/>
        <rFont val="Calibri"/>
        <family val="2"/>
        <scheme val="minor"/>
      </rPr>
      <t>2</t>
    </r>
  </si>
  <si>
    <t>Luminaire:</t>
  </si>
  <si>
    <t>Estimated Light Level</t>
  </si>
  <si>
    <t>FR</t>
  </si>
  <si>
    <t>Yes</t>
  </si>
  <si>
    <t>No</t>
  </si>
  <si>
    <t>No FR</t>
  </si>
  <si>
    <t>Room Estimator</t>
  </si>
  <si>
    <t>Desired Light Level</t>
  </si>
  <si>
    <t>Room Length (x)</t>
  </si>
  <si>
    <t>Room Width (y)</t>
  </si>
  <si>
    <t># Fixtures (x)</t>
  </si>
  <si>
    <t># Fixtures (y)</t>
  </si>
  <si>
    <t>Total # of Luminaires</t>
  </si>
  <si>
    <t>Light Loss Factor (LLF)</t>
  </si>
  <si>
    <t>Estimated Light Levels Based on Known Quantity</t>
  </si>
  <si>
    <t>Estimated Luminaire Layout Based on Target Light Levels:</t>
  </si>
  <si>
    <t>Fixture Spacing (x)</t>
  </si>
  <si>
    <t>Fixture Spacing (y)</t>
  </si>
  <si>
    <t>Total Watts</t>
  </si>
  <si>
    <t>lm</t>
  </si>
  <si>
    <t>W</t>
  </si>
  <si>
    <r>
      <t>Spacing Criteria (0-180</t>
    </r>
    <r>
      <rPr>
        <sz val="11"/>
        <color theme="1"/>
        <rFont val="Calibri"/>
        <family val="2"/>
      </rPr>
      <t>°)</t>
    </r>
  </si>
  <si>
    <r>
      <t>Spacing Criteria (90-270</t>
    </r>
    <r>
      <rPr>
        <sz val="11"/>
        <color theme="1"/>
        <rFont val="Calibri"/>
        <family val="2"/>
      </rPr>
      <t>°)</t>
    </r>
  </si>
  <si>
    <t>0-180</t>
  </si>
  <si>
    <t>90-270</t>
  </si>
  <si>
    <t>Fixture Orientation</t>
  </si>
  <si>
    <t>Orientation</t>
  </si>
  <si>
    <t>deg</t>
  </si>
  <si>
    <t>PBL Premium High Bay</t>
  </si>
  <si>
    <t>* The above calculations are a rough estimate only.  Actual results may vary depending on field conditions.  LumenFocus makes no warranties as to the performance predicted by the above calculations.  Please contact your LumenFocus representative for a more detailed photometric analysis.</t>
  </si>
  <si>
    <t>FFL Form Focus Lay-In</t>
  </si>
  <si>
    <t>Size</t>
  </si>
  <si>
    <t>FFL 24 SL UV FA 830</t>
  </si>
  <si>
    <t>FFL 24 VL UV FA 830</t>
  </si>
  <si>
    <t>FFL 24 LW UV FA 830</t>
  </si>
  <si>
    <t>FFL 24 ML UV FA 830</t>
  </si>
  <si>
    <t>FFL 24 MD UV FA 830</t>
  </si>
  <si>
    <t>FFL 24 HI UV FA 830</t>
  </si>
  <si>
    <t>FFL 24 VH UV FA 830</t>
  </si>
  <si>
    <t>FFL 24 SH UV FA 830</t>
  </si>
  <si>
    <t>FFL 22 SL UV FA 830</t>
  </si>
  <si>
    <t>FFL 22 VL UV FA 830</t>
  </si>
  <si>
    <t>FFL 22 LW UV FA 830</t>
  </si>
  <si>
    <t>FFL 22 MD UV FA 830</t>
  </si>
  <si>
    <t>FFL 22 HI UV FA 830</t>
  </si>
  <si>
    <t>FFL 14 SL UV FA 830</t>
  </si>
  <si>
    <t>FFL 14 VL UV FA 830</t>
  </si>
  <si>
    <t>FFL 14 LW UV FA 830</t>
  </si>
  <si>
    <t>FFL 14 MD UV FA 830</t>
  </si>
  <si>
    <t>FFL 14 HI UV FA 830</t>
  </si>
  <si>
    <t>FFL 24 SL UV FA 835</t>
  </si>
  <si>
    <t>FFL 24 VL UV FA 835</t>
  </si>
  <si>
    <t>FFL 24 LW UV FA 835</t>
  </si>
  <si>
    <t>FFL 24 ML UV FA 835</t>
  </si>
  <si>
    <t>FFL 24 MD UV FA 835</t>
  </si>
  <si>
    <t>FFL 24 HI UV FA 835</t>
  </si>
  <si>
    <t>FFL 24 VH UV FA 835</t>
  </si>
  <si>
    <t>FFL 24 SH UV FA 835</t>
  </si>
  <si>
    <t>FFL 22 SL UV FA 835</t>
  </si>
  <si>
    <t>FFL 22 VL UV FA 835</t>
  </si>
  <si>
    <t>FFL 22 LW UV FA 835</t>
  </si>
  <si>
    <t>FFL 22 MD UV FA 835</t>
  </si>
  <si>
    <t>FFL 22 HI UV FA 835</t>
  </si>
  <si>
    <t>FFL 14 SL UV FA 835</t>
  </si>
  <si>
    <t>FFL 14 VL UV FA 835</t>
  </si>
  <si>
    <t>FFL 14 LW UV FA 835</t>
  </si>
  <si>
    <t>FFL 14 MD UV FA 835</t>
  </si>
  <si>
    <t>FFL 14 HI UV FA 835</t>
  </si>
  <si>
    <t>FFL 24 SL UV FA 840</t>
  </si>
  <si>
    <t>FFL 24 VL UV FA 840</t>
  </si>
  <si>
    <t>FFL 24 LW UV FA 840</t>
  </si>
  <si>
    <t>FFL 24 ML UV FA 840</t>
  </si>
  <si>
    <t>FFL 24 MD UV FA 840</t>
  </si>
  <si>
    <t>FFL 24 HI UV FA 840</t>
  </si>
  <si>
    <t>FFL 24 VH UV FA 840</t>
  </si>
  <si>
    <t>FFL 24 SH UV FA 840</t>
  </si>
  <si>
    <t>FFL 22 SL UV FA 840</t>
  </si>
  <si>
    <t>FFL 22 VL UV FA 840</t>
  </si>
  <si>
    <t>FFL 22 LW UV FA 840</t>
  </si>
  <si>
    <t>FFL 22 MD UV FA 840</t>
  </si>
  <si>
    <t>FFL 22 HI UV FA 840</t>
  </si>
  <si>
    <t>FFL 14 SL UV FA 840</t>
  </si>
  <si>
    <t>FFL 14 VL UV FA 840</t>
  </si>
  <si>
    <t>FFL 14 LW UV FA 840</t>
  </si>
  <si>
    <t>FFL 14 MD UV FA 840</t>
  </si>
  <si>
    <t>FFL 14 HI UV FA 840</t>
  </si>
  <si>
    <t>FFL 24 SL UV FA 850</t>
  </si>
  <si>
    <t>FFL 24 VL UV FA 850</t>
  </si>
  <si>
    <t>FFL 24 LW UV FA 850</t>
  </si>
  <si>
    <t>FFL 24 ML UV FA 850</t>
  </si>
  <si>
    <t>FFL 24 MD UV FA 850</t>
  </si>
  <si>
    <t>FFL 24 HI UV FA 850</t>
  </si>
  <si>
    <t>FFL 24 VH UV FA 850</t>
  </si>
  <si>
    <t>FFL 24 SH UV FA 850</t>
  </si>
  <si>
    <t>FFL 22 SL UV FA 850</t>
  </si>
  <si>
    <t>FFL 22 VL UV FA 850</t>
  </si>
  <si>
    <t>FFL 22 LW UV FA 850</t>
  </si>
  <si>
    <t>FFL 22 MD UV FA 850</t>
  </si>
  <si>
    <t>FFL 22 HI UV FA 850</t>
  </si>
  <si>
    <t>FFL 14 SL UV FA 850</t>
  </si>
  <si>
    <t>FFL 14 VL UV FA 850</t>
  </si>
  <si>
    <t>FFL 14 LW UV FA 850</t>
  </si>
  <si>
    <t>FFL 14 MD UV FA 850</t>
  </si>
  <si>
    <t>FFL 14 HI UV FA 850</t>
  </si>
  <si>
    <t>PBL 4W VH UV FR 850</t>
  </si>
  <si>
    <t>y</t>
  </si>
  <si>
    <t>c3</t>
  </si>
  <si>
    <t>c2</t>
  </si>
  <si>
    <t>c1</t>
  </si>
  <si>
    <t>b</t>
  </si>
  <si>
    <t>x</t>
  </si>
  <si>
    <t>PBL 2 LW HE UV FR 835</t>
  </si>
  <si>
    <t>PBL 2 MD HE UV FR 835</t>
  </si>
  <si>
    <t>PBL 2W MH HE UV FR 835</t>
  </si>
  <si>
    <t>PBL 2W HI HE UV FR 835</t>
  </si>
  <si>
    <t>PBL 4 SL HE UV FR 835</t>
  </si>
  <si>
    <t>PBL 4 VL HE UV FR 835</t>
  </si>
  <si>
    <t>PBL 4 LW HE UV FR 835</t>
  </si>
  <si>
    <t>PBL 4 MD HE UV FR 835</t>
  </si>
  <si>
    <t>PBL 4 HI HE UV FR 835</t>
  </si>
  <si>
    <t>PBL 4W LW HE UV FR 835</t>
  </si>
  <si>
    <t>PBL 4W MD HE UV FR 835</t>
  </si>
  <si>
    <t>PBL 4W HI HE UV FR 835</t>
  </si>
  <si>
    <t>PBL 2 LW UV FR 835</t>
  </si>
  <si>
    <t>PBL 2 MD UV FR 835</t>
  </si>
  <si>
    <t>PBL 2W MH UV FR 835</t>
  </si>
  <si>
    <t>PBL 2W HI UV FR 835</t>
  </si>
  <si>
    <t>PBL 4 SL UV FR 835</t>
  </si>
  <si>
    <t>PBL 4 VL UV FR 835</t>
  </si>
  <si>
    <t>PBL 4 LW UV FR 835</t>
  </si>
  <si>
    <t>PBL 4 MD UV FR 835</t>
  </si>
  <si>
    <t>PBL 4 HI UV FR 835</t>
  </si>
  <si>
    <t>PBL 4W LW UV FR 835</t>
  </si>
  <si>
    <t>PBL 4W MD UV FR 835</t>
  </si>
  <si>
    <t>PBL 4W HI UV FR 835</t>
  </si>
  <si>
    <t>PBL 4W VH UV FR 835</t>
  </si>
  <si>
    <t>PBL 2 LW HE UV FR 840</t>
  </si>
  <si>
    <t>PBL 2 MD HE UV FR 840</t>
  </si>
  <si>
    <t>PBL 2W MH HE UV FR 840</t>
  </si>
  <si>
    <t>PBL 2W HI HE UV FR 840</t>
  </si>
  <si>
    <t>PBL 4 SL HE UV FR 840</t>
  </si>
  <si>
    <t>PBL 4 VL HE UV FR 840</t>
  </si>
  <si>
    <t>PBL 4 LW HE UV FR 840</t>
  </si>
  <si>
    <t>PBL 4 MD HE UV FR 840</t>
  </si>
  <si>
    <t>PBL 4 HI HE UV FR 840</t>
  </si>
  <si>
    <t>PBL 4W LW HE UV FR 840</t>
  </si>
  <si>
    <t>PBL 4W MD HE UV FR 840</t>
  </si>
  <si>
    <t>PBL 4W HI HE UV FR 840</t>
  </si>
  <si>
    <t>PBL 2 LW UV FR 840</t>
  </si>
  <si>
    <t>PBL 2 MD UV FR 840</t>
  </si>
  <si>
    <t>PBL 2W MH UV FR 840</t>
  </si>
  <si>
    <t>PBL 2W HI UV FR 840</t>
  </si>
  <si>
    <t>PBL 4 SL UV FR 840</t>
  </si>
  <si>
    <t>PBL 4 VL UV FR 840</t>
  </si>
  <si>
    <t>PBL 4 LW UV FR 840</t>
  </si>
  <si>
    <t>PBL 4 MD UV FR 840</t>
  </si>
  <si>
    <t>PBL 4 HI UV FR 840</t>
  </si>
  <si>
    <t>PBL 4W LW UV FR 840</t>
  </si>
  <si>
    <t>PBL 4W MD UV FR 840</t>
  </si>
  <si>
    <t>PBL 4W HI UV FR 840</t>
  </si>
  <si>
    <t>PBL 4W VH UV FR 840</t>
  </si>
  <si>
    <t>PBL 2 LW HE UV FR 850</t>
  </si>
  <si>
    <t>PBL 2 MD HE UV FR 850</t>
  </si>
  <si>
    <t>PBL 2W MH HE UV FR 850</t>
  </si>
  <si>
    <t>PBL 2W HI HE UV FR 850</t>
  </si>
  <si>
    <t>PBL 4 SL HE UV FR 850</t>
  </si>
  <si>
    <t>PBL 4 VL HE UV FR 850</t>
  </si>
  <si>
    <t>PBL 4 LW HE UV FR 850</t>
  </si>
  <si>
    <t>PBL 4 MD HE UV FR 850</t>
  </si>
  <si>
    <t>PBL 4 HI HE UV FR 850</t>
  </si>
  <si>
    <t>PBL 4W LW HE UV FR 850</t>
  </si>
  <si>
    <t>PBL 4W MD HE UV FR 850</t>
  </si>
  <si>
    <t>PBL 4W HI HE UV FR 850</t>
  </si>
  <si>
    <t>PBL 2 LW UV FR 850</t>
  </si>
  <si>
    <t>PBL 2 MD UV FR 850</t>
  </si>
  <si>
    <t>PBL 2W MH UV FR 850</t>
  </si>
  <si>
    <t>PBL 2W HI UV FR 850</t>
  </si>
  <si>
    <t>PBL 4 SL UV FR 850</t>
  </si>
  <si>
    <t>PBL 4 VL UV FR 850</t>
  </si>
  <si>
    <t>PBL 4 LW UV FR 850</t>
  </si>
  <si>
    <t>PBL 4 MD UV FR 850</t>
  </si>
  <si>
    <t>PBL 4 HI UV FR 850</t>
  </si>
  <si>
    <t>PBL 4W LW UV FR 850</t>
  </si>
  <si>
    <t>PBL 4W MD UV FR 850</t>
  </si>
  <si>
    <t>PBL 4W HI UV FR 850</t>
  </si>
  <si>
    <t>FFR 24 SL UV FA 830</t>
  </si>
  <si>
    <t>FFR 24 VL UV FA 830</t>
  </si>
  <si>
    <t>FFR 24 LW UV FA 830</t>
  </si>
  <si>
    <t>FFR 24 ML UV FA 830</t>
  </si>
  <si>
    <t>FFR 24 MD UV FA 830</t>
  </si>
  <si>
    <t>FFR 24 HI UV FA 830</t>
  </si>
  <si>
    <t>FFR 24 VH UV FA 830</t>
  </si>
  <si>
    <t>FFR 24 SH UV FA 830</t>
  </si>
  <si>
    <t>FFR 22 SL UV FA 830</t>
  </si>
  <si>
    <t>FFR 22 VL UV FA 830</t>
  </si>
  <si>
    <t>FFR 22 LW UV FA 830</t>
  </si>
  <si>
    <t>FFR 22 MD UV FA 830</t>
  </si>
  <si>
    <t>FFR 22 HI UV FA 830</t>
  </si>
  <si>
    <t>FFR 14 SL UV FA 830</t>
  </si>
  <si>
    <t>FFR 14 VL UV FA 830</t>
  </si>
  <si>
    <t>FFR 14 LW UV FA 830</t>
  </si>
  <si>
    <t>FFR 14 MD UV FA 830</t>
  </si>
  <si>
    <t>FFR 14 HI UV FA 830</t>
  </si>
  <si>
    <t>FFR 24 SL UV FA 835</t>
  </si>
  <si>
    <t>FFR 24 VL UV FA 835</t>
  </si>
  <si>
    <t>FFR 24 LW UV FA 835</t>
  </si>
  <si>
    <t>FFR 24 ML UV FA 835</t>
  </si>
  <si>
    <t>FFR 24 MD UV FA 835</t>
  </si>
  <si>
    <t>FFR 24 HI UV FA 835</t>
  </si>
  <si>
    <t>FFR 24 VH UV FA 835</t>
  </si>
  <si>
    <t>FFR 24 SH UV FA 835</t>
  </si>
  <si>
    <t>FFR 22 SL UV FA 835</t>
  </si>
  <si>
    <t>FFR 22 VL UV FA 835</t>
  </si>
  <si>
    <t>FFR 22 LW UV FA 835</t>
  </si>
  <si>
    <t>FFR 22 MD UV FA 835</t>
  </si>
  <si>
    <t>FFR 22 HI UV FA 835</t>
  </si>
  <si>
    <t>FFR 14 SL UV FA 835</t>
  </si>
  <si>
    <t>FFR 14 VL UV FA 835</t>
  </si>
  <si>
    <t>FFR 14 LW UV FA 835</t>
  </si>
  <si>
    <t>FFR 14 MD UV FA 835</t>
  </si>
  <si>
    <t>FFR 14 HI UV FA 835</t>
  </si>
  <si>
    <t>FFR 24 SL UV FA 840</t>
  </si>
  <si>
    <t>FFR 24 VL UV FA 840</t>
  </si>
  <si>
    <t>FFR 24 LW UV FA 840</t>
  </si>
  <si>
    <t>FFR 14T SL UV FA 830</t>
  </si>
  <si>
    <t>FFR 14T VL UV FA 830</t>
  </si>
  <si>
    <t>FFR 14T LW UV FA 830</t>
  </si>
  <si>
    <t>FFR 14T MD UV FA 830</t>
  </si>
  <si>
    <t>FFR 14T SL UV FA 835</t>
  </si>
  <si>
    <t>FFR 14T VL UV FA 835</t>
  </si>
  <si>
    <t>FFR 14T LW UV FA 835</t>
  </si>
  <si>
    <t>FFR 14T MD UV FA 835</t>
  </si>
  <si>
    <t>FFR 24 SL UV FA 850</t>
  </si>
  <si>
    <t>FFR 14T MD UV FA 840</t>
  </si>
  <si>
    <t>FFR 14T LW UV FA 840</t>
  </si>
  <si>
    <t>FFR 14T VL UV FA 840</t>
  </si>
  <si>
    <t>FFR 14T SL UV FA 840</t>
  </si>
  <si>
    <t>FFR 14 HI UV FA 840</t>
  </si>
  <si>
    <t>FFR 14 MD UV FA 840</t>
  </si>
  <si>
    <t>FFR 14 LW UV FA 840</t>
  </si>
  <si>
    <t>FFR 14 VL UV FA 840</t>
  </si>
  <si>
    <t>FFR 14 SL UV FA 840</t>
  </si>
  <si>
    <t>FFR 22 HI UV FA 840</t>
  </si>
  <si>
    <t>FFR 22 MD UV FA 840</t>
  </si>
  <si>
    <t>FFR 22 LW UV FA 840</t>
  </si>
  <si>
    <t>FFR 22 VL UV FA 840</t>
  </si>
  <si>
    <t>FFR 22 SL UV FA 840</t>
  </si>
  <si>
    <t>FFR 24 SH UV FA 840</t>
  </si>
  <si>
    <t>FFR 24 VH UV FA 840</t>
  </si>
  <si>
    <t>FFR 24 HI UV FA 840</t>
  </si>
  <si>
    <t>FFR 24 MD UV FA 840</t>
  </si>
  <si>
    <t>FFR 24 ML UV FA 840</t>
  </si>
  <si>
    <t>FFR 24 VL UV FA 850</t>
  </si>
  <si>
    <t>FFR 24 LW UV FA 850</t>
  </si>
  <si>
    <t>FFR 24 ML UV FA 850</t>
  </si>
  <si>
    <t>FFR 24 MD UV FA 850</t>
  </si>
  <si>
    <t>FFR 24 HI UV FA 850</t>
  </si>
  <si>
    <t>FFR 24 VH UV FA 850</t>
  </si>
  <si>
    <t>FFR 24 SH UV FA 850</t>
  </si>
  <si>
    <t>FFR 22 SL UV FA 850</t>
  </si>
  <si>
    <t>FFR 22 VL UV FA 850</t>
  </si>
  <si>
    <t>FFR 22 LW UV FA 850</t>
  </si>
  <si>
    <t>FFR 22 MD UV FA 850</t>
  </si>
  <si>
    <t>FFR 22 HI UV FA 850</t>
  </si>
  <si>
    <t>FFR 14 SL UV FA 850</t>
  </si>
  <si>
    <t>FFR 14 VL UV FA 850</t>
  </si>
  <si>
    <t>FFR 14 LW UV FA 850</t>
  </si>
  <si>
    <t>FFR 14 MD UV FA 850</t>
  </si>
  <si>
    <t>FFR 14 HI UV FA 850</t>
  </si>
  <si>
    <t>FFR 14T SL UV FA 850</t>
  </si>
  <si>
    <t>FFR 14T VL UV FA 850</t>
  </si>
  <si>
    <t>FFR 14T LW UV FA 850</t>
  </si>
  <si>
    <t>FFR 14T MD UV FA 850</t>
  </si>
  <si>
    <t>PBL A 4 VL UV 835</t>
  </si>
  <si>
    <t>PBL A 4 LW UV 835</t>
  </si>
  <si>
    <t>PBL A 4 MD UV 835</t>
  </si>
  <si>
    <t>PBL A 4 HI UV 835</t>
  </si>
  <si>
    <t>PBL A 8 VL UV 835</t>
  </si>
  <si>
    <t>PBL A 8 LW UV 835</t>
  </si>
  <si>
    <t>PBL A 8 MD UV 835</t>
  </si>
  <si>
    <t>PBL A 4 VL UV 840</t>
  </si>
  <si>
    <t>PBL A 4 LW UV 840</t>
  </si>
  <si>
    <t>PBL A 4 MD UV 840</t>
  </si>
  <si>
    <t>PBL A 4 HI UV 840</t>
  </si>
  <si>
    <t>PBL A 8 VL UV 840</t>
  </si>
  <si>
    <t>PBL A 8 LW UV 840</t>
  </si>
  <si>
    <t>PBL A 8 MD UV 840</t>
  </si>
  <si>
    <t>PBL A 4 VL UV 850</t>
  </si>
  <si>
    <t>PBL A 4 LW UV 850</t>
  </si>
  <si>
    <t>PBL A 4 MD UV 850</t>
  </si>
  <si>
    <t>PBL A 4 HI UV 850</t>
  </si>
  <si>
    <t>PBL A 8 VL UV 850</t>
  </si>
  <si>
    <t>PBL A 8 LW UV 850</t>
  </si>
  <si>
    <t>PBL A 8 MD UV 850</t>
  </si>
  <si>
    <t>PBL A - Aisle High Bay</t>
  </si>
  <si>
    <t>ECL Strip</t>
  </si>
  <si>
    <t>ECL 2 LW UV 835</t>
  </si>
  <si>
    <t>ECL 2 MD UV 835</t>
  </si>
  <si>
    <t>ECL 2 HI UV 835</t>
  </si>
  <si>
    <t>ECL 2 VH UV 835</t>
  </si>
  <si>
    <t>ECL 3 LW UV 835</t>
  </si>
  <si>
    <t>ECL 3 MD UV 835</t>
  </si>
  <si>
    <t>ECL 3 HI UV 835</t>
  </si>
  <si>
    <t>ECL 3 VH UV 835</t>
  </si>
  <si>
    <t>ECL 4 LW UV 835</t>
  </si>
  <si>
    <t>ECL 4 MD UV 835</t>
  </si>
  <si>
    <t>ECL 4 MH UV 835</t>
  </si>
  <si>
    <t>ECL 4 HI UV 835</t>
  </si>
  <si>
    <t>ECL 4 VH UV 835</t>
  </si>
  <si>
    <t>ECL 6 LW UV 835</t>
  </si>
  <si>
    <t>ECL 6 MD UV 835</t>
  </si>
  <si>
    <t>ECL 6 HI UV 835</t>
  </si>
  <si>
    <t>ECL 6 VH UV 835</t>
  </si>
  <si>
    <t>ECL 8 LW UV 835</t>
  </si>
  <si>
    <t>ECL 8 ML UV 835</t>
  </si>
  <si>
    <t>ECL 8 MD UV 835</t>
  </si>
  <si>
    <t>ECL 8 MD HE UV 835</t>
  </si>
  <si>
    <t>ECL 8 MH UV 835</t>
  </si>
  <si>
    <t>ECL 8 HI UV 835</t>
  </si>
  <si>
    <t>ECL 8 VH UV 835</t>
  </si>
  <si>
    <t>ECL 2 LW UV FR 835</t>
  </si>
  <si>
    <t>ECL 2 MD UV FR 835</t>
  </si>
  <si>
    <t>ECL 2 HI UV FR 835</t>
  </si>
  <si>
    <t>ECL 2 VH UV FR 835</t>
  </si>
  <si>
    <t>ECL 3 LW UV FR 835</t>
  </si>
  <si>
    <t>ECL 3 MD UV FR 835</t>
  </si>
  <si>
    <t>ECL 3 HI UV FR 835</t>
  </si>
  <si>
    <t>ECL 3 VH UV FR 835</t>
  </si>
  <si>
    <t>ECL 4 LW UV FR 835</t>
  </si>
  <si>
    <t>ECL 4 MD UV FR 835</t>
  </si>
  <si>
    <t>ECL 4 MH UV FR 835</t>
  </si>
  <si>
    <t>ECL 4 HI UV FR 835</t>
  </si>
  <si>
    <t>ECL 4 VH UV FR 835</t>
  </si>
  <si>
    <t>ECL 6 LW UV FR 835</t>
  </si>
  <si>
    <t>ECL 6 MD UV FR 835</t>
  </si>
  <si>
    <t>ECL 6 HI UV FR 835</t>
  </si>
  <si>
    <t>ECL 6 VH UV FR 835</t>
  </si>
  <si>
    <t>ECL 8 LW UV FR 835</t>
  </si>
  <si>
    <t>ECL 8 ML UV FR 835</t>
  </si>
  <si>
    <t>ECL 8 MD UV FR 835</t>
  </si>
  <si>
    <t>ECL 8 MD HE UV FR 835</t>
  </si>
  <si>
    <t>ECL 8 MH UV FR 835</t>
  </si>
  <si>
    <t>ECL 8 HI UV FR 835</t>
  </si>
  <si>
    <t>ECL 8 VH UV FR 835</t>
  </si>
  <si>
    <t>ECL 2 LW UV 840</t>
  </si>
  <si>
    <t>ECL 2 MD UV 840</t>
  </si>
  <si>
    <t>ECL 2 HI UV 840</t>
  </si>
  <si>
    <t>ECL 2 VH UV 840</t>
  </si>
  <si>
    <t>ECL 3 LW UV 840</t>
  </si>
  <si>
    <t>ECL 3 MD UV 840</t>
  </si>
  <si>
    <t>ECL 3 HI UV 840</t>
  </si>
  <si>
    <t>ECL 3 VH UV 840</t>
  </si>
  <si>
    <t>ECL 4 LW UV 840</t>
  </si>
  <si>
    <t>ECL 4 MD UV 840</t>
  </si>
  <si>
    <t>ECL 4 MH UV 840</t>
  </si>
  <si>
    <t>ECL 4 HI UV 840</t>
  </si>
  <si>
    <t>ECL 4 VH UV 840</t>
  </si>
  <si>
    <t>ECL 6 LW UV 840</t>
  </si>
  <si>
    <t>ECL 6 MD UV 840</t>
  </si>
  <si>
    <t>ECL 6 HI UV 840</t>
  </si>
  <si>
    <t>ECL 6 VH UV 840</t>
  </si>
  <si>
    <t>ECL 8 LW UV 840</t>
  </si>
  <si>
    <t>ECL 8 ML UV 840</t>
  </si>
  <si>
    <t>ECL 8 MD UV 840</t>
  </si>
  <si>
    <t>ECL 8 MD HE UV 840</t>
  </si>
  <si>
    <t>ECL 8 MH UV 840</t>
  </si>
  <si>
    <t>ECL 8 HI UV 840</t>
  </si>
  <si>
    <t>ECL 8 VH UV 840</t>
  </si>
  <si>
    <t>ECL 2 LW UV FR 840</t>
  </si>
  <si>
    <t>ECL 2 MD UV FR 840</t>
  </si>
  <si>
    <t>ECL 2 HI UV FR 840</t>
  </si>
  <si>
    <t>ECL 2 VH UV FR 840</t>
  </si>
  <si>
    <t>ECL 3 LW UV FR 840</t>
  </si>
  <si>
    <t>ECL 3 MD UV FR 840</t>
  </si>
  <si>
    <t>ECL 3 HI UV FR 840</t>
  </si>
  <si>
    <t>ECL 3 VH UV FR 840</t>
  </si>
  <si>
    <t>ECL 4 LW UV FR 840</t>
  </si>
  <si>
    <t>ECL 4 MD UV FR 840</t>
  </si>
  <si>
    <t>ECL 4 MH UV FR 840</t>
  </si>
  <si>
    <t>ECL 4 HI UV FR 840</t>
  </si>
  <si>
    <t>ECL 4 VH UV FR 840</t>
  </si>
  <si>
    <t>ECL 6 LW UV FR 840</t>
  </si>
  <si>
    <t>ECL 6 MD UV FR 840</t>
  </si>
  <si>
    <t>ECL 6 HI UV FR 840</t>
  </si>
  <si>
    <t>ECL 6 VH UV FR 840</t>
  </si>
  <si>
    <t>ECL 8 LW UV FR 840</t>
  </si>
  <si>
    <t>ECL 8 ML UV FR 840</t>
  </si>
  <si>
    <t>ECL 8 MD UV FR 840</t>
  </si>
  <si>
    <t>ECL 8 MD HE UV FR 840</t>
  </si>
  <si>
    <t>ECL 8 MH UV FR 840</t>
  </si>
  <si>
    <t>ECL 8 HI UV FR 840</t>
  </si>
  <si>
    <t>ECL 8 VH UV FR 840</t>
  </si>
  <si>
    <t>ECL 2 LW UV 850</t>
  </si>
  <si>
    <t>ECL 2 MD UV 850</t>
  </si>
  <si>
    <t>ECL 2 HI UV 850</t>
  </si>
  <si>
    <t>ECL 2 VH UV 850</t>
  </si>
  <si>
    <t>ECL 3 LW UV 850</t>
  </si>
  <si>
    <t>ECL 3 MD UV 850</t>
  </si>
  <si>
    <t>ECL 3 HI UV 850</t>
  </si>
  <si>
    <t>ECL 3 VH UV 850</t>
  </si>
  <si>
    <t>ECL 4 LW UV 850</t>
  </si>
  <si>
    <t>ECL 4 MD UV 850</t>
  </si>
  <si>
    <t>ECL 4 MH UV 850</t>
  </si>
  <si>
    <t>ECL 4 HI UV 850</t>
  </si>
  <si>
    <t>ECL 4 VH UV 850</t>
  </si>
  <si>
    <t>ECL 6 LW UV 850</t>
  </si>
  <si>
    <t>ECL 6 MD UV 850</t>
  </si>
  <si>
    <t>ECL 6 HI UV 850</t>
  </si>
  <si>
    <t>ECL 6 VH UV 850</t>
  </si>
  <si>
    <t>ECL 8 LW UV 850</t>
  </si>
  <si>
    <t>ECL 8 ML UV 850</t>
  </si>
  <si>
    <t>ECL 8 MD UV 850</t>
  </si>
  <si>
    <t>ECL 8 MD HE UV 850</t>
  </si>
  <si>
    <t>ECL 8 MH UV 850</t>
  </si>
  <si>
    <t>ECL 8 HI UV 850</t>
  </si>
  <si>
    <t>ECL 8 VH UV 850</t>
  </si>
  <si>
    <t>ECL 2 LW UV FR 850</t>
  </si>
  <si>
    <t>ECL 2 MD UV FR 850</t>
  </si>
  <si>
    <t>ECL 2 HI UV FR 850</t>
  </si>
  <si>
    <t>ECL 2 VH UV FR 850</t>
  </si>
  <si>
    <t>ECL 3 LW UV FR 850</t>
  </si>
  <si>
    <t>ECL 3 MD UV FR 850</t>
  </si>
  <si>
    <t>ECL 3 HI UV FR 850</t>
  </si>
  <si>
    <t>ECL 3 VH UV FR 850</t>
  </si>
  <si>
    <t>ECL 4 LW UV FR 850</t>
  </si>
  <si>
    <t>ECL 4 MD UV FR 850</t>
  </si>
  <si>
    <t>ECL 4 MH UV FR 850</t>
  </si>
  <si>
    <t>ECL 4 HI UV FR 850</t>
  </si>
  <si>
    <t>ECL 4 VH UV FR 850</t>
  </si>
  <si>
    <t>ECL 6 LW UV FR 850</t>
  </si>
  <si>
    <t>ECL 6 MD UV FR 850</t>
  </si>
  <si>
    <t>ECL 6 HI UV FR 850</t>
  </si>
  <si>
    <t>ECL 6 VH UV FR 850</t>
  </si>
  <si>
    <t>ECL 8 LW UV FR 850</t>
  </si>
  <si>
    <t>ECL 8 ML UV FR 850</t>
  </si>
  <si>
    <t>ECL 8 MD UV FR 850</t>
  </si>
  <si>
    <t>ECL 8 MD HE UV FR 850</t>
  </si>
  <si>
    <t>ECL 8 MH UV FR 850</t>
  </si>
  <si>
    <t>ECL 8 HI UV FR 850</t>
  </si>
  <si>
    <t>ECL 8 VH UV FR 850</t>
  </si>
  <si>
    <t>RCL Strip Retrofit</t>
  </si>
  <si>
    <t>RCL 2 LW UV 835</t>
  </si>
  <si>
    <t>RCL 2 MD UV 835</t>
  </si>
  <si>
    <t>RCL 2 HI UV 835</t>
  </si>
  <si>
    <t>RCL 2 VH UV 835</t>
  </si>
  <si>
    <t>RCL 3 LW UV 835</t>
  </si>
  <si>
    <t>RCL 3 MD UV 835</t>
  </si>
  <si>
    <t>RCL 3 HI UV 835</t>
  </si>
  <si>
    <t>RCL 3 VH UV 835</t>
  </si>
  <si>
    <t>RCL 4 LW UV 835</t>
  </si>
  <si>
    <t>RCL 4 MD UV 835</t>
  </si>
  <si>
    <t>RCL 4 MH UV 835</t>
  </si>
  <si>
    <t>RCL 4 HI UV 835</t>
  </si>
  <si>
    <t>RCL 4 VH UV 835</t>
  </si>
  <si>
    <t>RCL 6 LW UV 835</t>
  </si>
  <si>
    <t>RCL 6 MD UV 835</t>
  </si>
  <si>
    <t>RCL 6 HI UV 835</t>
  </si>
  <si>
    <t>RCL 6 VH UV 835</t>
  </si>
  <si>
    <t>RCL 8 LW UV 835</t>
  </si>
  <si>
    <t>RCL 8 ML UV 835</t>
  </si>
  <si>
    <t>RCL 8 MD UV 835</t>
  </si>
  <si>
    <t>RCL 8 MD HE UV 835</t>
  </si>
  <si>
    <t>RCL 8 MH UV 835</t>
  </si>
  <si>
    <t>RCL 8 HI UV 835</t>
  </si>
  <si>
    <t>RCL 8 VH UV 835</t>
  </si>
  <si>
    <t>RCL 2 LW UV FR 835</t>
  </si>
  <si>
    <t>RCL 2 MD UV FR 835</t>
  </si>
  <si>
    <t>RCL 2 HI UV FR 835</t>
  </si>
  <si>
    <t>RCL 2 VH UV FR 835</t>
  </si>
  <si>
    <t>RCL 3 LW UV FR 835</t>
  </si>
  <si>
    <t>RCL 3 MD UV FR 835</t>
  </si>
  <si>
    <t>RCL 3 HI UV FR 835</t>
  </si>
  <si>
    <t>RCL 3 VH UV FR 835</t>
  </si>
  <si>
    <t>RCL 4 LW UV FR 835</t>
  </si>
  <si>
    <t>RCL 4 MD UV FR 835</t>
  </si>
  <si>
    <t>RCL 4 MH UV FR 835</t>
  </si>
  <si>
    <t>RCL 4 HI UV FR 835</t>
  </si>
  <si>
    <t>RCL 4 VH UV FR 835</t>
  </si>
  <si>
    <t>RCL 6 LW UV FR 835</t>
  </si>
  <si>
    <t>RCL 6 MD UV FR 835</t>
  </si>
  <si>
    <t>RCL 6 HI UV FR 835</t>
  </si>
  <si>
    <t>RCL 6 VH UV FR 835</t>
  </si>
  <si>
    <t>RCL 8 LW UV FR 835</t>
  </si>
  <si>
    <t>RCL 8 ML UV FR 835</t>
  </si>
  <si>
    <t>RCL 8 MD UV FR 835</t>
  </si>
  <si>
    <t>RCL 8 MD HE UV FR 835</t>
  </si>
  <si>
    <t>RCL 8 MH UV FR 835</t>
  </si>
  <si>
    <t>RCL 8 HI UV FR 835</t>
  </si>
  <si>
    <t>RCL 8 VH UV FR 835</t>
  </si>
  <si>
    <t>RCL 2 LW UV 840</t>
  </si>
  <si>
    <t>RCL 2 MD UV 840</t>
  </si>
  <si>
    <t>RCL 2 HI UV 840</t>
  </si>
  <si>
    <t>RCL 2 VH UV 840</t>
  </si>
  <si>
    <t>RCL 3 LW UV 840</t>
  </si>
  <si>
    <t>RCL 3 MD UV 840</t>
  </si>
  <si>
    <t>RCL 3 HI UV 840</t>
  </si>
  <si>
    <t>RCL 3 VH UV 840</t>
  </si>
  <si>
    <t>RCL 4 LW UV 840</t>
  </si>
  <si>
    <t>RCL 4 MD UV 840</t>
  </si>
  <si>
    <t>RCL 4 MH UV 840</t>
  </si>
  <si>
    <t>RCL 4 HI UV 840</t>
  </si>
  <si>
    <t>RCL 4 VH UV 840</t>
  </si>
  <si>
    <t>RCL 6 LW UV 840</t>
  </si>
  <si>
    <t>RCL 6 MD UV 840</t>
  </si>
  <si>
    <t>RCL 6 HI UV 840</t>
  </si>
  <si>
    <t>RCL 6 VH UV 840</t>
  </si>
  <si>
    <t>RCL 8 LW UV 840</t>
  </si>
  <si>
    <t>RCL 8 ML UV 840</t>
  </si>
  <si>
    <t>RCL 8 MD UV 840</t>
  </si>
  <si>
    <t>RCL 8 MD HE UV 840</t>
  </si>
  <si>
    <t>RCL 8 MH UV 840</t>
  </si>
  <si>
    <t>RCL 8 HI UV 840</t>
  </si>
  <si>
    <t>RCL 8 VH UV 840</t>
  </si>
  <si>
    <t>RCL 2 LW UV FR 840</t>
  </si>
  <si>
    <t>RCL 2 MD UV FR 840</t>
  </si>
  <si>
    <t>RCL 2 HI UV FR 840</t>
  </si>
  <si>
    <t>RCL 2 VH UV FR 840</t>
  </si>
  <si>
    <t>RCL 3 LW UV FR 840</t>
  </si>
  <si>
    <t>RCL 3 MD UV FR 840</t>
  </si>
  <si>
    <t>RCL 3 HI UV FR 840</t>
  </si>
  <si>
    <t>RCL 3 VH UV FR 840</t>
  </si>
  <si>
    <t>RCL 4 LW UV FR 840</t>
  </si>
  <si>
    <t>RCL 4 MD UV FR 840</t>
  </si>
  <si>
    <t>RCL 4 MH UV FR 840</t>
  </si>
  <si>
    <t>RCL 4 HI UV FR 840</t>
  </si>
  <si>
    <t>RCL 4 VH UV FR 840</t>
  </si>
  <si>
    <t>RCL 6 LW UV FR 840</t>
  </si>
  <si>
    <t>RCL 6 MD UV FR 840</t>
  </si>
  <si>
    <t>RCL 6 HI UV FR 840</t>
  </si>
  <si>
    <t>RCL 6 VH UV FR 840</t>
  </si>
  <si>
    <t>RCL 8 LW UV FR 840</t>
  </si>
  <si>
    <t>RCL 8 ML UV FR 840</t>
  </si>
  <si>
    <t>RCL 8 MD UV FR 840</t>
  </si>
  <si>
    <t>RCL 8 MD HE UV FR 840</t>
  </si>
  <si>
    <t>RCL 8 MH UV FR 840</t>
  </si>
  <si>
    <t>RCL 8 HI UV FR 840</t>
  </si>
  <si>
    <t>RCL 8 VH UV FR 840</t>
  </si>
  <si>
    <t>RCL 2 LW UV 850</t>
  </si>
  <si>
    <t>RCL 2 MD UV 850</t>
  </si>
  <si>
    <t>RCL 2 HI UV 850</t>
  </si>
  <si>
    <t>RCL 2 VH UV 850</t>
  </si>
  <si>
    <t>RCL 3 LW UV 850</t>
  </si>
  <si>
    <t>RCL 3 MD UV 850</t>
  </si>
  <si>
    <t>RCL 3 HI UV 850</t>
  </si>
  <si>
    <t>RCL 3 VH UV 850</t>
  </si>
  <si>
    <t>RCL 4 LW UV 850</t>
  </si>
  <si>
    <t>RCL 4 MD UV 850</t>
  </si>
  <si>
    <t>RCL 4 MH UV 850</t>
  </si>
  <si>
    <t>RCL 4 HI UV 850</t>
  </si>
  <si>
    <t>RCL 4 VH UV 850</t>
  </si>
  <si>
    <t>RCL 6 LW UV 850</t>
  </si>
  <si>
    <t>RCL 6 MD UV 850</t>
  </si>
  <si>
    <t>RCL 6 HI UV 850</t>
  </si>
  <si>
    <t>RCL 6 VH UV 850</t>
  </si>
  <si>
    <t>RCL 8 LW UV 850</t>
  </si>
  <si>
    <t>RCL 8 ML UV 850</t>
  </si>
  <si>
    <t>RCL 8 MD UV 850</t>
  </si>
  <si>
    <t>RCL 8 MD HE UV 850</t>
  </si>
  <si>
    <t>RCL 8 MH UV 850</t>
  </si>
  <si>
    <t>RCL 8 HI UV 850</t>
  </si>
  <si>
    <t>RCL 8 VH UV 850</t>
  </si>
  <si>
    <t>RCL 2 LW UV FR 850</t>
  </si>
  <si>
    <t>RCL 2 MD UV FR 850</t>
  </si>
  <si>
    <t>RCL 2 HI UV FR 850</t>
  </si>
  <si>
    <t>RCL 2 VH UV FR 850</t>
  </si>
  <si>
    <t>RCL 3 LW UV FR 850</t>
  </si>
  <si>
    <t>RCL 3 MD UV FR 850</t>
  </si>
  <si>
    <t>RCL 3 HI UV FR 850</t>
  </si>
  <si>
    <t>RCL 3 VH UV FR 850</t>
  </si>
  <si>
    <t>RCL 4 LW UV FR 850</t>
  </si>
  <si>
    <t>RCL 4 MD UV FR 850</t>
  </si>
  <si>
    <t>RCL 4 MH UV FR 850</t>
  </si>
  <si>
    <t>RCL 4 HI UV FR 850</t>
  </si>
  <si>
    <t>RCL 4 VH UV FR 850</t>
  </si>
  <si>
    <t>RCL 6 LW UV FR 850</t>
  </si>
  <si>
    <t>RCL 6 MD UV FR 850</t>
  </si>
  <si>
    <t>RCL 6 HI UV FR 850</t>
  </si>
  <si>
    <t>RCL 6 VH UV FR 850</t>
  </si>
  <si>
    <t>RCL 8 LW UV FR 850</t>
  </si>
  <si>
    <t>RCL 8 ML UV FR 850</t>
  </si>
  <si>
    <t>RCL 8 MD UV FR 850</t>
  </si>
  <si>
    <t>RCL 8 MD HE UV FR 850</t>
  </si>
  <si>
    <t>RCL 8 MH UV FR 850</t>
  </si>
  <si>
    <t>RCL 8 HI UV FR 850</t>
  </si>
  <si>
    <t>RCL 8 VH UV FR 850</t>
  </si>
  <si>
    <t>WVL 2 LW UV FA 835</t>
  </si>
  <si>
    <t>WVL 2 MD UV FA 835</t>
  </si>
  <si>
    <t>WVL 2 HI UV FA 835</t>
  </si>
  <si>
    <t>WVL 2 LW UV CA 835</t>
  </si>
  <si>
    <t>WVL 2 MD UV CA 835</t>
  </si>
  <si>
    <t>WVL 2 HI UV CA 835</t>
  </si>
  <si>
    <t>WVL 2 LW UV CP 835</t>
  </si>
  <si>
    <t>WVL 2 MD UV CP 835</t>
  </si>
  <si>
    <t>WVL 2 HI UV CP 835</t>
  </si>
  <si>
    <t>WVL 2 LW UV FA 840</t>
  </si>
  <si>
    <t>WVL 2 MD UV FA 840</t>
  </si>
  <si>
    <t>WVL 2 HI UV FA 840</t>
  </si>
  <si>
    <t>WVL 2 LW UV CA 840</t>
  </si>
  <si>
    <t>WVL 2 MD UV CA 840</t>
  </si>
  <si>
    <t>WVL 2 HI UV CA 840</t>
  </si>
  <si>
    <t>WVL 2 LW UV CP 840</t>
  </si>
  <si>
    <t>WVL 2 MD UV CP 840</t>
  </si>
  <si>
    <t>WVL 2 HI UV CP 840</t>
  </si>
  <si>
    <t>WVL 2 LW UV FA 850</t>
  </si>
  <si>
    <t>WVL 2 MD UV FA 850</t>
  </si>
  <si>
    <t>WVL 2 HI UV FA 850</t>
  </si>
  <si>
    <t>WVL 2 LW UV CA 850</t>
  </si>
  <si>
    <t>WVL 2 MD UV CA 850</t>
  </si>
  <si>
    <t>WVL 2 HI UV CA 850</t>
  </si>
  <si>
    <t>WVL 2 LW UV CP 850</t>
  </si>
  <si>
    <t>WVL 2 MD UV CP 850</t>
  </si>
  <si>
    <t>WVL 2 HI UV CP 850</t>
  </si>
  <si>
    <t>Lens</t>
  </si>
  <si>
    <t>FA</t>
  </si>
  <si>
    <t>CA</t>
  </si>
  <si>
    <t>CP</t>
  </si>
  <si>
    <t>WVL 4 LW UV FA 835</t>
  </si>
  <si>
    <t>WVL 4 MD UV FA 835</t>
  </si>
  <si>
    <t>WVL 4 HI UV FA 835</t>
  </si>
  <si>
    <t>WVL 4 SH UV FA 835</t>
  </si>
  <si>
    <t>WVL 4 LW UV CA 835</t>
  </si>
  <si>
    <t>WVL 4 MD UV CA 835</t>
  </si>
  <si>
    <t>WVL 4 HI UV CA 835</t>
  </si>
  <si>
    <t>WVL 4 SH UV CA 835</t>
  </si>
  <si>
    <t>WVL 4 LW UV CP 835</t>
  </si>
  <si>
    <t>WVL 4 MD UV CP 835</t>
  </si>
  <si>
    <t>WVL 4 HI UV CP 835</t>
  </si>
  <si>
    <t>WVL 4 SH UV CP 835</t>
  </si>
  <si>
    <t>WVL 4 LW UV FA 840</t>
  </si>
  <si>
    <t>WVL 4 MD UV FA 840</t>
  </si>
  <si>
    <t>WVL 4 HI UV FA 840</t>
  </si>
  <si>
    <t>WVL 4 SH UV FA 840</t>
  </si>
  <si>
    <t>WVL 4 LW UV CA 840</t>
  </si>
  <si>
    <t>WVL 4 MD UV CA 840</t>
  </si>
  <si>
    <t>WVL 4 HI UV CA 840</t>
  </si>
  <si>
    <t>WVL 4 SH UV CA 840</t>
  </si>
  <si>
    <t>WVL 4 LW UV CP 840</t>
  </si>
  <si>
    <t>WVL 4 MD UV CP 840</t>
  </si>
  <si>
    <t>WVL 4 HI UV CP 840</t>
  </si>
  <si>
    <t>WVL 4 SH UV CP 840</t>
  </si>
  <si>
    <t>WVL 4 LW UV FA 850</t>
  </si>
  <si>
    <t>WVL 4 MD UV FA 850</t>
  </si>
  <si>
    <t>WVL 4 HI UV FA 850</t>
  </si>
  <si>
    <t>WVL 4 SH UV FA 850</t>
  </si>
  <si>
    <t>WVL 4 LW UV CA 850</t>
  </si>
  <si>
    <t>WVL 4 MD UV CA 850</t>
  </si>
  <si>
    <t>WVL 4 HI UV CA 850</t>
  </si>
  <si>
    <t>WVL 4 SH UV CA 850</t>
  </si>
  <si>
    <t>WVL 4 LW UV CP 850</t>
  </si>
  <si>
    <t>WVL 4 MD UV CP 850</t>
  </si>
  <si>
    <t>WVL 4 HI UV CP 850</t>
  </si>
  <si>
    <t>WVL 4 SH UV CP 850</t>
  </si>
  <si>
    <t>WVL2 Vaportight High Bay</t>
  </si>
  <si>
    <t>WVL4 Vaportight High Bay</t>
  </si>
  <si>
    <t>PBL U 2 LW UV A23F 835</t>
  </si>
  <si>
    <t>PBL U 2 MD UV A23F 835</t>
  </si>
  <si>
    <t>PBL U 4 VL UV A23F 835</t>
  </si>
  <si>
    <t>PBL U 4 LW UV A23F 835</t>
  </si>
  <si>
    <t>PBL U 4 MD UV A23F 835</t>
  </si>
  <si>
    <t>PBL U 4 HI UV A23F 835</t>
  </si>
  <si>
    <t>PBL U 2 LW UV A23F 840</t>
  </si>
  <si>
    <t>PBL U 2 MD UV A23F 840</t>
  </si>
  <si>
    <t>PBL U 4 VL UV A23F 840</t>
  </si>
  <si>
    <t>PBL U 4 LW UV A23F 840</t>
  </si>
  <si>
    <t>PBL U 4 MD UV A23F 840</t>
  </si>
  <si>
    <t>PBL U 4 HI UV A23F 840</t>
  </si>
  <si>
    <t>PBL U 2 LW UV A23F 850</t>
  </si>
  <si>
    <t>PBL U 2 MD UV A23F 850</t>
  </si>
  <si>
    <t>PBL U 4 VL UV A23F 850</t>
  </si>
  <si>
    <t>PBL U 4 LW UV A23F 850</t>
  </si>
  <si>
    <t>PBL U 4 MD UV A23F 850</t>
  </si>
  <si>
    <t>PBL U 4 HI UV A23F 850</t>
  </si>
  <si>
    <t>PBL X 2 LW UV A23F 835</t>
  </si>
  <si>
    <t>PBL X 2 MD UV A23F 835</t>
  </si>
  <si>
    <t>PBL X 4 VL UV A23F 835</t>
  </si>
  <si>
    <t>PBL X 4 LW UV A23F 835</t>
  </si>
  <si>
    <t>PBL X 4 MD UV A23F 835</t>
  </si>
  <si>
    <t>PBL X 4 HI UV A23F 835</t>
  </si>
  <si>
    <t>PBL X 2 LW UV A23F 840</t>
  </si>
  <si>
    <t>PBL X 2 MD UV A23F 840</t>
  </si>
  <si>
    <t>PBL X 4 VL UV A23F 840</t>
  </si>
  <si>
    <t>PBL X 4 LW UV A23F 840</t>
  </si>
  <si>
    <t>PBL X 4 MD UV A23F 840</t>
  </si>
  <si>
    <t>PBL X 4 HI UV A23F 840</t>
  </si>
  <si>
    <t>PBL X 2 LW UV A23F 850</t>
  </si>
  <si>
    <t>PBL X 2 MD UV A23F 850</t>
  </si>
  <si>
    <t>PBL X 4 VL UV A23F 850</t>
  </si>
  <si>
    <t>PBL X 4 LW UV A23F 850</t>
  </si>
  <si>
    <t>PBL X 4 MD UV A23F 850</t>
  </si>
  <si>
    <t>PBL X 4 HI UV A23F 850</t>
  </si>
  <si>
    <t>PBLX Premium Lensed High Bay</t>
  </si>
  <si>
    <t>EBL  High Bay</t>
  </si>
  <si>
    <t>EBL 2 LW UV 835</t>
  </si>
  <si>
    <t>EBL 2 MD UV 835</t>
  </si>
  <si>
    <t>EBL 2 HI UV 835</t>
  </si>
  <si>
    <t>EBL 2 LW UV 840</t>
  </si>
  <si>
    <t>EBL 2 MD UV 840</t>
  </si>
  <si>
    <t>EBL 2 HI UV 840</t>
  </si>
  <si>
    <t>EBL 2 LW UV 850</t>
  </si>
  <si>
    <t>EBL 2 MD UV 850</t>
  </si>
  <si>
    <t>EBL 2 HI UV 850</t>
  </si>
  <si>
    <t>NVL 2 LW UV FRA 835</t>
  </si>
  <si>
    <t>NVL 2 MD UV FRA 835</t>
  </si>
  <si>
    <t>NVL 2 HI UV FRA 835</t>
  </si>
  <si>
    <t>NVL 2 VH UV FRA 835</t>
  </si>
  <si>
    <t>NVL 2 SH UV FRA 835</t>
  </si>
  <si>
    <t>NVL 4 LW UV FRA 835</t>
  </si>
  <si>
    <t>NVL 4 MD UV FRA 835</t>
  </si>
  <si>
    <t>NVL 4 HI UV FRA 835</t>
  </si>
  <si>
    <t>NVL 4 VH UV FRA 835</t>
  </si>
  <si>
    <t>NVL 4 SH UV FRA 835</t>
  </si>
  <si>
    <t>NVL 8 SL UV FRA 835</t>
  </si>
  <si>
    <t>NVL 8 VL UV FRA 835</t>
  </si>
  <si>
    <t>NVL 8 LW UV FRA 835</t>
  </si>
  <si>
    <t>NVL 8 MD UV FRA 835</t>
  </si>
  <si>
    <t>NVL 8 HI UV FRA 835</t>
  </si>
  <si>
    <t>NVL 8 VH UV FRA 835</t>
  </si>
  <si>
    <t>NVL 8 SH UV FRA 835</t>
  </si>
  <si>
    <t>NVL 2 LW UV FDA 835</t>
  </si>
  <si>
    <t>NVL 2 MD UV FDA 835</t>
  </si>
  <si>
    <t>NVL 2 HI UV FDA 835</t>
  </si>
  <si>
    <t>NVL 2 VH UV FDA 835</t>
  </si>
  <si>
    <t>NVL 2 SH UV FDA 835</t>
  </si>
  <si>
    <t>NVL 4 LW UV FDA 835</t>
  </si>
  <si>
    <t>NVL 4 MD UV FDA 835</t>
  </si>
  <si>
    <t>NVL 4 HI UV FDA 835</t>
  </si>
  <si>
    <t>NVL 4 VH UV FDA 835</t>
  </si>
  <si>
    <t>NVL 4 SH UV FDA 835</t>
  </si>
  <si>
    <t>NVL 8 SL UV FDA 835</t>
  </si>
  <si>
    <t>NVL 8 VL UV FDA 835</t>
  </si>
  <si>
    <t>NVL 8 LW UV FDA 835</t>
  </si>
  <si>
    <t>NVL 8 MD UV FDA 835</t>
  </si>
  <si>
    <t>NVL 8 HI UV FDA 835</t>
  </si>
  <si>
    <t>NVL 8 VH UV FDA 835</t>
  </si>
  <si>
    <t>NVL 8 SH UV FDA 835</t>
  </si>
  <si>
    <t>NVL 4 LW UV FSA 835</t>
  </si>
  <si>
    <t>NVL 4 MD UV FSA 835</t>
  </si>
  <si>
    <t>NVL 4 HI UV FSA 835</t>
  </si>
  <si>
    <t>NVL 4 VH UV FSA 835</t>
  </si>
  <si>
    <t>NVL 4 SH UV FSA 835</t>
  </si>
  <si>
    <t>NVL 2 LW UV CRA 835</t>
  </si>
  <si>
    <t>NVL 2 MD UV CRA 835</t>
  </si>
  <si>
    <t>NVL 2 HI UV CRA 835</t>
  </si>
  <si>
    <t>NVL 2 VH UV CRA 835</t>
  </si>
  <si>
    <t>NVL 2 SH UV CRA 835</t>
  </si>
  <si>
    <t>NVL 4 LW UV CRA 835</t>
  </si>
  <si>
    <t>NVL 4 MD UV CRA 835</t>
  </si>
  <si>
    <t>NVL 4 HI UV CRA 835</t>
  </si>
  <si>
    <t>NVL 4 VH UV CRA 835</t>
  </si>
  <si>
    <t>NVL 4 SH UV CRA 835</t>
  </si>
  <si>
    <t>NVL 8 VL UV CRA 835</t>
  </si>
  <si>
    <t>NVL 8 LW UV CRA 835</t>
  </si>
  <si>
    <t>NVL 8 MD UV CRA 835</t>
  </si>
  <si>
    <t>NVL 8 HI UV CRA 835</t>
  </si>
  <si>
    <t>NVL 8 VH UV CRA 835</t>
  </si>
  <si>
    <t>NVL 8 SH UV CRA 835</t>
  </si>
  <si>
    <t>NVL 2 LW UV CDA 835</t>
  </si>
  <si>
    <t>NVL 2 MD UV CDA 835</t>
  </si>
  <si>
    <t>NVL 2 HI UV CDA 835</t>
  </si>
  <si>
    <t>NVL 2 VH UV CDA 835</t>
  </si>
  <si>
    <t>NVL 2 SH UV CDA 835</t>
  </si>
  <si>
    <t>NVL 4 MD UV CDA 835</t>
  </si>
  <si>
    <t>NVL 4 HI UV CDA 835</t>
  </si>
  <si>
    <t>NVL 4 VH UV CDA 835</t>
  </si>
  <si>
    <t>NVL 4 SH UV CDA 835</t>
  </si>
  <si>
    <t>NVL 8 SL UV CDA 835</t>
  </si>
  <si>
    <t>NVL 8 VL UV CDA 835</t>
  </si>
  <si>
    <t>NVL 8 LW UV CDA 835</t>
  </si>
  <si>
    <t>NVL 8 MD UV CDA 835</t>
  </si>
  <si>
    <t>NVL 8 HI UV CDA 835</t>
  </si>
  <si>
    <t>NVL 8 VH UV CDA 835</t>
  </si>
  <si>
    <t>NVL 8 SH UV CDA 835</t>
  </si>
  <si>
    <t>NVL 4 LW UV CSA 835</t>
  </si>
  <si>
    <t>NVL 4 MD UV CSA 835</t>
  </si>
  <si>
    <t>NVL 4 HI UV CSA 835</t>
  </si>
  <si>
    <t>NVL 4 VH UV CSA 835</t>
  </si>
  <si>
    <t>NVL 4 SH UV CSA 835</t>
  </si>
  <si>
    <t>NVL 2 LW UV FRA 840</t>
  </si>
  <si>
    <t>NVL 2 MD UV FRA 840</t>
  </si>
  <si>
    <t>NVL 2 HI UV FRA 840</t>
  </si>
  <si>
    <t>NVL 2 VH UV FRA 840</t>
  </si>
  <si>
    <t>NVL 2 SH UV FRA 840</t>
  </si>
  <si>
    <t>NVL 4 LW UV FRA 840</t>
  </si>
  <si>
    <t>NVL 4 MD UV FRA 840</t>
  </si>
  <si>
    <t>NVL 4 HI UV FRA 840</t>
  </si>
  <si>
    <t>NVL 4 VH UV FRA 840</t>
  </si>
  <si>
    <t>NVL 4 SH UV FRA 840</t>
  </si>
  <si>
    <t>NVL 8 SL UV FRA 840</t>
  </si>
  <si>
    <t>NVL 8 VL UV FRA 840</t>
  </si>
  <si>
    <t>NVL 8 LW UV FRA 840</t>
  </si>
  <si>
    <t>NVL 8 MD UV FRA 840</t>
  </si>
  <si>
    <t>NVL 8 HI UV FRA 840</t>
  </si>
  <si>
    <t>NVL 8 VH UV FRA 840</t>
  </si>
  <si>
    <t>NVL 8 SH UV FRA 840</t>
  </si>
  <si>
    <t>NVL 2 LW UV FDA 840</t>
  </si>
  <si>
    <t>NVL 2 MD UV FDA 840</t>
  </si>
  <si>
    <t>NVL 2 HI UV FDA 840</t>
  </si>
  <si>
    <t>NVL 2 VH UV FDA 840</t>
  </si>
  <si>
    <t>NVL 2 SH UV FDA 840</t>
  </si>
  <si>
    <t>NVL 4 LW UV FDA 840</t>
  </si>
  <si>
    <t>NVL 4 MD UV FDA 840</t>
  </si>
  <si>
    <t>NVL 4 HI UV FDA 840</t>
  </si>
  <si>
    <t>NVL 4 VH UV FDA 840</t>
  </si>
  <si>
    <t>NVL 4 SH UV FDA 840</t>
  </si>
  <si>
    <t>NVL 8 SL UV FDA 840</t>
  </si>
  <si>
    <t>NVL 8 VL UV FDA 840</t>
  </si>
  <si>
    <t>NVL 8 LW UV FDA 840</t>
  </si>
  <si>
    <t>NVL 8 MD UV FDA 840</t>
  </si>
  <si>
    <t>NVL 8 HI UV FDA 840</t>
  </si>
  <si>
    <t>NVL 8 VH UV FDA 840</t>
  </si>
  <si>
    <t>NVL 8 SH UV FDA 840</t>
  </si>
  <si>
    <t>NVL 4 LW UV FSA 840</t>
  </si>
  <si>
    <t>NVL 4 MD UV FSA 840</t>
  </si>
  <si>
    <t>NVL 4 HI UV FSA 840</t>
  </si>
  <si>
    <t>NVL 4 VH UV FSA 840</t>
  </si>
  <si>
    <t>NVL 4 SH UV FSA 840</t>
  </si>
  <si>
    <t>NVL 2 LW UV CRA 840</t>
  </si>
  <si>
    <t>NVL 2 MD UV CRA 840</t>
  </si>
  <si>
    <t>NVL 2 HI UV CRA 840</t>
  </si>
  <si>
    <t>NVL 2 VH UV CRA 840</t>
  </si>
  <si>
    <t>NVL 2 SH UV CRA 840</t>
  </si>
  <si>
    <t>NVL 4 LW UV CRA 840</t>
  </si>
  <si>
    <t>NVL 4 MD UV CRA 840</t>
  </si>
  <si>
    <t>NVL 4 HI UV CRA 840</t>
  </si>
  <si>
    <t>NVL 4 VH UV CRA 840</t>
  </si>
  <si>
    <t>NVL 4 SH UV CRA 840</t>
  </si>
  <si>
    <t>NVL 8 SL UV CRA 840</t>
  </si>
  <si>
    <t>NVL 4 LW UV CDA 835</t>
  </si>
  <si>
    <t>NVL 8 SL UV CRA 835</t>
  </si>
  <si>
    <t>NVL 8 VL UV CRA 840</t>
  </si>
  <si>
    <t>NVL 8 LW UV CRA 840</t>
  </si>
  <si>
    <t>NVL 8 MD UV CRA 840</t>
  </si>
  <si>
    <t>NVL 8 HI UV CRA 840</t>
  </si>
  <si>
    <t>NVL 8 VH UV CRA 840</t>
  </si>
  <si>
    <t>NVL 8 SH UV CRA 840</t>
  </si>
  <si>
    <t>NVL 2 LW UV CDA 840</t>
  </si>
  <si>
    <t>NVL 2 MD UV CDA 840</t>
  </si>
  <si>
    <t>NVL 2 HI UV CDA 840</t>
  </si>
  <si>
    <t>NVL 2 VH UV CDA 840</t>
  </si>
  <si>
    <t>NVL 2 SH UV CDA 840</t>
  </si>
  <si>
    <t>NVL 4 LW UV CDA 840</t>
  </si>
  <si>
    <t>NVL 4 MD UV CDA 840</t>
  </si>
  <si>
    <t>NVL 4 HI UV CDA 840</t>
  </si>
  <si>
    <t>NVL 4 VH UV CDA 840</t>
  </si>
  <si>
    <t>NVL 4 SH UV CDA 840</t>
  </si>
  <si>
    <t>NVL 8 SL UV CDA 840</t>
  </si>
  <si>
    <t>NVL 8 VL UV CDA 840</t>
  </si>
  <si>
    <t>NVL 8 LW UV CDA 840</t>
  </si>
  <si>
    <t>NVL 8 MD UV CDA 840</t>
  </si>
  <si>
    <t>NVL 8 HI UV CDA 840</t>
  </si>
  <si>
    <t>NVL 8 VH UV CDA 840</t>
  </si>
  <si>
    <t>NVL 8 SH UV CDA 840</t>
  </si>
  <si>
    <t>NVL 4 LW UV CSA 840</t>
  </si>
  <si>
    <t>NVL 4 MD UV CSA 840</t>
  </si>
  <si>
    <t>NVL 4 HI UV CSA 840</t>
  </si>
  <si>
    <t>NVL 4 VH UV CSA 840</t>
  </si>
  <si>
    <t>NVL 4 SH UV CSA 840</t>
  </si>
  <si>
    <t>NVL 2 LW UV FRA 850</t>
  </si>
  <si>
    <t>NVL 2 MD UV FRA 850</t>
  </si>
  <si>
    <t>NVL 2 HI UV FRA 850</t>
  </si>
  <si>
    <t>NVL 2 VH UV FRA 850</t>
  </si>
  <si>
    <t>NVL 2 SH UV FRA 850</t>
  </si>
  <si>
    <t>NVL 4 LW UV FRA 850</t>
  </si>
  <si>
    <t>NVL 4 MD UV FRA 850</t>
  </si>
  <si>
    <t>NVL 4 HI UV FRA 850</t>
  </si>
  <si>
    <t>NVL 4 VH UV FRA 850</t>
  </si>
  <si>
    <t>NVL 4 SH UV FRA 850</t>
  </si>
  <si>
    <t>NVL 8 SL UV FRA 850</t>
  </si>
  <si>
    <t>NVL 8 VL UV FRA 850</t>
  </si>
  <si>
    <t>NVL 8 LW UV FRA 850</t>
  </si>
  <si>
    <t>NVL 8 MD UV FRA 850</t>
  </si>
  <si>
    <t>NVL 8 HI UV FRA 850</t>
  </si>
  <si>
    <t>NVL 8 VH UV FRA 850</t>
  </si>
  <si>
    <t>NVL 8 SH UV FRA 850</t>
  </si>
  <si>
    <t>NVL 2 LW UV FDA 850</t>
  </si>
  <si>
    <t>NVL 2 MD UV FDA 850</t>
  </si>
  <si>
    <t>NVL 2 HI UV FDA 850</t>
  </si>
  <si>
    <t>NVL 2 VH UV FDA 850</t>
  </si>
  <si>
    <t>NVL 2 SH UV FDA 850</t>
  </si>
  <si>
    <t>NVL 4 LW UV FDA 850</t>
  </si>
  <si>
    <t>NVL 4 MD UV FDA 850</t>
  </si>
  <si>
    <t>NVL 4 HI UV FDA 850</t>
  </si>
  <si>
    <t>NVL 4 VH UV FDA 850</t>
  </si>
  <si>
    <t>NVL 4 SH UV FDA 850</t>
  </si>
  <si>
    <t>NVL 8 SL UV FDA 850</t>
  </si>
  <si>
    <t>NVL 8 VL UV FDA 850</t>
  </si>
  <si>
    <t>NVL 8 LW UV FDA 850</t>
  </si>
  <si>
    <t>NVL 8 MD UV FDA 850</t>
  </si>
  <si>
    <t>NVL 8 HI UV FDA 850</t>
  </si>
  <si>
    <t>NVL 8 VH UV FDA 850</t>
  </si>
  <si>
    <t>NVL 8 SH UV FDA 850</t>
  </si>
  <si>
    <t>NVL 4 LW UV FSA 850</t>
  </si>
  <si>
    <t>NVL 4 MD UV FSA 850</t>
  </si>
  <si>
    <t>NVL 4 HI UV FSA 850</t>
  </si>
  <si>
    <t>NVL 4 VH UV FSA 850</t>
  </si>
  <si>
    <t>NVL 4 SH UV FSA 850</t>
  </si>
  <si>
    <t>NVL 2 LW UV CRA 850</t>
  </si>
  <si>
    <t>NVL 2 MD UV CRA 850</t>
  </si>
  <si>
    <t>NVL 2 HI UV CRA 850</t>
  </si>
  <si>
    <t>NVL 2 VH UV CRA 850</t>
  </si>
  <si>
    <t>NVL 2 SH UV CRA 850</t>
  </si>
  <si>
    <t>NVL 4 LW UV CRA 850</t>
  </si>
  <si>
    <t>NVL 4 MD UV CRA 850</t>
  </si>
  <si>
    <t>NVL 4 HI UV CRA 850</t>
  </si>
  <si>
    <t>NVL 4 VH UV CRA 850</t>
  </si>
  <si>
    <t>NVL 4 SH UV CRA 850</t>
  </si>
  <si>
    <t>NVL 8 SL UV CRA 850</t>
  </si>
  <si>
    <t>NVL 8 VL UV CRA 850</t>
  </si>
  <si>
    <t>NVL 8 LW UV CRA 850</t>
  </si>
  <si>
    <t>NVL 8 MD UV CRA 850</t>
  </si>
  <si>
    <t>NVL 8 HI UV CRA 850</t>
  </si>
  <si>
    <t>NVL 8 VH UV CRA 850</t>
  </si>
  <si>
    <t>NVL 8 SH UV CRA 850</t>
  </si>
  <si>
    <t>NVL 2 LW UV CDA 850</t>
  </si>
  <si>
    <t>NVL 2 MD UV CDA 850</t>
  </si>
  <si>
    <t>NVL 2 HI UV CDA 850</t>
  </si>
  <si>
    <t>NVL 2 VH UV CDA 850</t>
  </si>
  <si>
    <t>NVL 2 SH UV CDA 850</t>
  </si>
  <si>
    <t>NVL 4 LW UV CDA 850</t>
  </si>
  <si>
    <t>NVL 4 MD UV CDA 850</t>
  </si>
  <si>
    <t>NVL 4 HI UV CDA 850</t>
  </si>
  <si>
    <t>NVL 4 VH UV CDA 850</t>
  </si>
  <si>
    <t>NVL 4 SH UV CDA 850</t>
  </si>
  <si>
    <t>NVL 8 SL UV CDA 850</t>
  </si>
  <si>
    <t>NVL 8 VL UV CDA 850</t>
  </si>
  <si>
    <t>NVL 8 LW UV CDA 850</t>
  </si>
  <si>
    <t>NVL 8 MD UV CDA 850</t>
  </si>
  <si>
    <t>NVL 8 HI UV CDA 850</t>
  </si>
  <si>
    <t>NVL 8 VH UV CDA 850</t>
  </si>
  <si>
    <t>NVL 8 SH UV CDA 850</t>
  </si>
  <si>
    <t>NVL 4 LW UV CSA 850</t>
  </si>
  <si>
    <t>NVL 4 MD UV CSA 850</t>
  </si>
  <si>
    <t>NVL 4 HI UV CSA 850</t>
  </si>
  <si>
    <t>NVL 4 VH UV CSA 850</t>
  </si>
  <si>
    <t>NVL 4 SH UV CSA 850</t>
  </si>
  <si>
    <t>FRA</t>
  </si>
  <si>
    <t>FDA</t>
  </si>
  <si>
    <t>FSA</t>
  </si>
  <si>
    <t>CRA</t>
  </si>
  <si>
    <t>CDA</t>
  </si>
  <si>
    <t>CSA</t>
  </si>
  <si>
    <t>NVL Vaportight Strip</t>
  </si>
  <si>
    <t>FFL2R Form Focus 2 row Lay-In</t>
  </si>
  <si>
    <t>FFL 2R 24 SL UV FA 830</t>
  </si>
  <si>
    <t>FFL 2R 24 VL UV FA 830</t>
  </si>
  <si>
    <t>FFL 2R 24 LW UV FA 830</t>
  </si>
  <si>
    <t>FFL 2R 24 ML UV FA 830</t>
  </si>
  <si>
    <t>FFL 2R 24 MD UV FA 830</t>
  </si>
  <si>
    <t>FFL 2R 24 HI UV FA 830</t>
  </si>
  <si>
    <t>FFL 2R 24 VH UV FA 830</t>
  </si>
  <si>
    <t>FFL 2R 24 SH UV FA 830</t>
  </si>
  <si>
    <t>FFL 2R 22 SL UV FA 830</t>
  </si>
  <si>
    <t>FFL 2R 22 VL UV FA 830</t>
  </si>
  <si>
    <t>FFL 2R 22 LW UV FA 830</t>
  </si>
  <si>
    <t>FFL 2R 22 MD UV FA 830</t>
  </si>
  <si>
    <t>FFL 2R 22 HI UV FA 830</t>
  </si>
  <si>
    <t>FFL 2R 24 SL UV FA 835</t>
  </si>
  <si>
    <t>FFL 2R 22 HI UV FA 835</t>
  </si>
  <si>
    <t>FFL 2R 24 SL UV FA 840</t>
  </si>
  <si>
    <t>FFL 2R 22 HI UV FA 840</t>
  </si>
  <si>
    <t>FFL 2R 24 SL UV FA 850</t>
  </si>
  <si>
    <t>FFL 2R 22 HI UV FA 850</t>
  </si>
  <si>
    <t>FFL 2R 24 VL UV FA 835</t>
  </si>
  <si>
    <t>FFL 2R 24 LW UV FA 835</t>
  </si>
  <si>
    <t>FFL 2R 24 ML UV FA 835</t>
  </si>
  <si>
    <t>FFL 2R 24 MD UV FA 835</t>
  </si>
  <si>
    <t>FFL 2R 24 HI UV FA 835</t>
  </si>
  <si>
    <t>FFL 2R 24 VH UV FA 835</t>
  </si>
  <si>
    <t>FFL 2R 24 SH UV FA 835</t>
  </si>
  <si>
    <t>FFL 2R 22 SL UV FA 835</t>
  </si>
  <si>
    <t>FFL 2R 22 VL UV FA 835</t>
  </si>
  <si>
    <t>FFL 2R 22 LW UV FA 835</t>
  </si>
  <si>
    <t>FFL 2R 22 MD UV FA 835</t>
  </si>
  <si>
    <t>FFL 2R 24 VL UV FA 840</t>
  </si>
  <si>
    <t>FFL 2R 24 LW UV FA 840</t>
  </si>
  <si>
    <t>FFL 2R 24 ML UV FA 840</t>
  </si>
  <si>
    <t>FFL 2R 24 MD UV FA 840</t>
  </si>
  <si>
    <t>FFL 2R 24 HI UV FA 840</t>
  </si>
  <si>
    <t>FFL 2R 24 VH UV FA 840</t>
  </si>
  <si>
    <t>FFL 2R 24 SH UV FA 840</t>
  </si>
  <si>
    <t>FFL 2R 22 SL UV FA 840</t>
  </si>
  <si>
    <t>FFL 2R 22 VL UV FA 840</t>
  </si>
  <si>
    <t>FFL 2R 22 LW UV FA 840</t>
  </si>
  <si>
    <t>FFL 2R 22 MD UV FA 840</t>
  </si>
  <si>
    <t>FFL 2R 24 VL UV FA 850</t>
  </si>
  <si>
    <t>FFL 2R 24 LW UV FA 850</t>
  </si>
  <si>
    <t>FFL 2R 24 ML UV FA 850</t>
  </si>
  <si>
    <t>FFL 2R 24 MD UV FA 850</t>
  </si>
  <si>
    <t>FFL 2R 24 HI UV FA 850</t>
  </si>
  <si>
    <t>FFL 2R 24 VH UV FA 850</t>
  </si>
  <si>
    <t>FFL 2R 24 SH UV FA 850</t>
  </si>
  <si>
    <t>FFL 2R 22 SL UV FA 850</t>
  </si>
  <si>
    <t>FFL 2R 22 VL UV FA 850</t>
  </si>
  <si>
    <t>FFL 2R 22 LW UV FA 850</t>
  </si>
  <si>
    <t>FFL 2R 22 MD UV FA 850</t>
  </si>
  <si>
    <t>FFL 2R 24 LW HO UV FA 830</t>
  </si>
  <si>
    <t>FFL 2R 24 MD HO UV FA 830</t>
  </si>
  <si>
    <t>FFL 2R 24 HI HO UV FA 830</t>
  </si>
  <si>
    <t>FFL 2R 24 VH HO UV FA 830</t>
  </si>
  <si>
    <t>FFL 2R 22 LW HO UV FA 830</t>
  </si>
  <si>
    <t>FFL 2R 22 MD HO UV FA 830</t>
  </si>
  <si>
    <t>FFL 2R 22 HI HO UV FA 830</t>
  </si>
  <si>
    <t>FFL 2R 22 VH HO UV FA 830</t>
  </si>
  <si>
    <t>FFL 2R 24 LW HO UV FA 835</t>
  </si>
  <si>
    <t>FFL 2R 24 MD HO UV FA 835</t>
  </si>
  <si>
    <t>FFL 2R 24 HI HO UV FA 835</t>
  </si>
  <si>
    <t>FFL 2R 24 VH HO UV FA 835</t>
  </si>
  <si>
    <t>FFL 2R 22 LW HO UV FA 835</t>
  </si>
  <si>
    <t>FFL 2R 22 MD HO UV FA 835</t>
  </si>
  <si>
    <t>FFL 2R 22 HI HO UV FA 835</t>
  </si>
  <si>
    <t>FFL 2R 22 VH HO UV FA 835</t>
  </si>
  <si>
    <t>FFL 2R 24 LW HO UV FA 840</t>
  </si>
  <si>
    <t>FFL 2R 24 MD HO UV FA 840</t>
  </si>
  <si>
    <t>FFL 2R 24 HI HO UV FA 840</t>
  </si>
  <si>
    <t>FFL 2R 24 VH HO UV FA 840</t>
  </si>
  <si>
    <t>FFL 2R 22 LW HO UV FA 840</t>
  </si>
  <si>
    <t>FFL 2R 22 MD HO UV FA 840</t>
  </si>
  <si>
    <t>FFL 2R 22 HI HO UV FA 840</t>
  </si>
  <si>
    <t>FFL 2R 22 VH HO UV FA 840</t>
  </si>
  <si>
    <t>FFL 2R 24 LW HO UV FA 850</t>
  </si>
  <si>
    <t>FFL 2R 24 MD HO UV FA 850</t>
  </si>
  <si>
    <t>FFL 2R 24 HI HO UV FA 850</t>
  </si>
  <si>
    <t>FFL 2R 24 VH HO UV FA 850</t>
  </si>
  <si>
    <t>FFL 2R 22 LW HO UV FA 850</t>
  </si>
  <si>
    <t>FFL 2R 22 MD HO UV FA 850</t>
  </si>
  <si>
    <t>FFL 2R 22 HI HO UV FA 850</t>
  </si>
  <si>
    <t>FFL 2R 22 VH HO UV FA 850</t>
  </si>
  <si>
    <t>ATL 22 MD UV WO 835</t>
  </si>
  <si>
    <t>ATL 22 HI UV WO 835</t>
  </si>
  <si>
    <t>ATL 24 MD UV WO 835</t>
  </si>
  <si>
    <t>ATL 24 HI UV WO 835</t>
  </si>
  <si>
    <t>ATL 22 MD UV SW 835</t>
  </si>
  <si>
    <t>ATL 22 HI UV SW 835</t>
  </si>
  <si>
    <t>ATL 24 MD UV SW 835</t>
  </si>
  <si>
    <t>ATL 24 HI UV SW 835</t>
  </si>
  <si>
    <t>ATL 22 MD UV FR 835</t>
  </si>
  <si>
    <t>ATL 22 HI UV FR 835</t>
  </si>
  <si>
    <t>ATL 24 MD UV FR 835</t>
  </si>
  <si>
    <t>ATL 24 HI UV FR 835</t>
  </si>
  <si>
    <t>ATL 22 MD UV WO 840</t>
  </si>
  <si>
    <t>ATL 22 HI UV WO 840</t>
  </si>
  <si>
    <t>ATL 24 MD UV WO 840</t>
  </si>
  <si>
    <t>ATL 24 HI UV WO 840</t>
  </si>
  <si>
    <t>ATL 22 MD UV SW 840</t>
  </si>
  <si>
    <t>ATL 22 HI UV SW 840</t>
  </si>
  <si>
    <t>ATL 24 MD UV SW 840</t>
  </si>
  <si>
    <t>ATL 24 HI UV SW 840</t>
  </si>
  <si>
    <t>ATL 22 MD UV FR 840</t>
  </si>
  <si>
    <t>ATL 22 HI UV FR 840</t>
  </si>
  <si>
    <t>ATL 24 MD UV FR 840</t>
  </si>
  <si>
    <t>ATL 24 HI UV FR 840</t>
  </si>
  <si>
    <t>24 WO</t>
  </si>
  <si>
    <t>22 WO</t>
  </si>
  <si>
    <t>24 SW</t>
  </si>
  <si>
    <t>22 SW</t>
  </si>
  <si>
    <t>24 FR</t>
  </si>
  <si>
    <t>22 FR</t>
  </si>
  <si>
    <t>WO</t>
  </si>
  <si>
    <t>SW</t>
  </si>
  <si>
    <t>ATL Lay-In</t>
  </si>
  <si>
    <t>ETL 22 LW UV A12 835</t>
  </si>
  <si>
    <t>ETL 22 MD UV A12 835</t>
  </si>
  <si>
    <t>ETL 22 HI UV A12 835</t>
  </si>
  <si>
    <t>ETL 22 VH UV A12 835</t>
  </si>
  <si>
    <t>ETL 24 VL UV A12 835</t>
  </si>
  <si>
    <t>ETL 24 LW UV A12 835</t>
  </si>
  <si>
    <t>ETL 24 MD UV A12 835</t>
  </si>
  <si>
    <t>ETL 24 HI UV A12 835</t>
  </si>
  <si>
    <t>ETL 24 VH UV A12 835</t>
  </si>
  <si>
    <t>ETL 24 SH UV A12 835</t>
  </si>
  <si>
    <t>ETL 14 LW UV A12 835</t>
  </si>
  <si>
    <t>ETL 14 MD UV A12 835</t>
  </si>
  <si>
    <t>ETL 14 HI UV A12 835</t>
  </si>
  <si>
    <t>ETL 14 VH UV A12 835</t>
  </si>
  <si>
    <t>ETL 22 LW UV A12 840</t>
  </si>
  <si>
    <t>ETL 22 MD UV A12 840</t>
  </si>
  <si>
    <t>ETL 22 HI UV A12 840</t>
  </si>
  <si>
    <t>ETL 22 VH UV A12 840</t>
  </si>
  <si>
    <t>ETL 24 VL UV A12 840</t>
  </si>
  <si>
    <t>ETL 24 LW UV A12 840</t>
  </si>
  <si>
    <t>ETL 24 MD UV A12 840</t>
  </si>
  <si>
    <t>ETL 24 HI UV A12 840</t>
  </si>
  <si>
    <t>ETL 24 VH UV A12 840</t>
  </si>
  <si>
    <t>ETL 24 SH UV A12 840</t>
  </si>
  <si>
    <t>ETL 14 LW UV A12 840</t>
  </si>
  <si>
    <t>ETL 14 MD UV A12 840</t>
  </si>
  <si>
    <t>ETL 14 HI UV A12 840</t>
  </si>
  <si>
    <t>ETL 14 VH UV A12 840</t>
  </si>
  <si>
    <t>ETL 22 LW UV A12 850</t>
  </si>
  <si>
    <t>ETL 22 MD UV A12 850</t>
  </si>
  <si>
    <t>ETL 22 HI UV A12 850</t>
  </si>
  <si>
    <t>ETL 22 VH UV A12 850</t>
  </si>
  <si>
    <t>ETL 24 VL UV A12 850</t>
  </si>
  <si>
    <t>ETL 24 LW UV A12 850</t>
  </si>
  <si>
    <t>ETL 24 MD UV A12 850</t>
  </si>
  <si>
    <t>ETL 24 HI UV A12 850</t>
  </si>
  <si>
    <t>ETL 24 VH UV A12 850</t>
  </si>
  <si>
    <t>ETL 24 SH UV A12 850</t>
  </si>
  <si>
    <t>ETL 14 LW UV A12 850</t>
  </si>
  <si>
    <t>ETL 14 MD UV A12 850</t>
  </si>
  <si>
    <t>ETL 14 HI UV A12 850</t>
  </si>
  <si>
    <t>ETL 14 VH UV A12 850</t>
  </si>
  <si>
    <t>ETL Prismatic Troffer</t>
  </si>
  <si>
    <t>PTL Lay-in</t>
  </si>
  <si>
    <t>PTL 22 MD UV SW 835</t>
  </si>
  <si>
    <t>PTL 22 HI UV SW 835</t>
  </si>
  <si>
    <t>PTL 24 MD UV SW 835</t>
  </si>
  <si>
    <t>PTL 24 HI UV SW 835</t>
  </si>
  <si>
    <t>PTL 22 MD UV SW 840</t>
  </si>
  <si>
    <t>PTL 22 HI UV SW 840</t>
  </si>
  <si>
    <t>PTL 24 MD UV SW 840</t>
  </si>
  <si>
    <t>PTL 24 HI UV SW 840</t>
  </si>
  <si>
    <t>FPL 22 LW HE UV FR 830</t>
  </si>
  <si>
    <t>FPL 22 MD UV FR 830</t>
  </si>
  <si>
    <t>FPL 22 MD HE UV FR 830</t>
  </si>
  <si>
    <t>FPL 24 MD UV FR 830</t>
  </si>
  <si>
    <t>FPL 24 MD HE UV FR 830</t>
  </si>
  <si>
    <t>FPL 24 HI UV FR 830</t>
  </si>
  <si>
    <t>FPL 14 MD UV FR 830</t>
  </si>
  <si>
    <t>FPL 22 LW HE UV FR 835</t>
  </si>
  <si>
    <t>FPL 14 MD UV FR 835</t>
  </si>
  <si>
    <t>FPL 24 HI UV FR 835</t>
  </si>
  <si>
    <t>FPL 24 MD HE UV FR 835</t>
  </si>
  <si>
    <t>FPL 24 MD UV FR 835</t>
  </si>
  <si>
    <t>FPL 22 MD HE UV FR 835</t>
  </si>
  <si>
    <t>FPL 22 MD UV FR 835</t>
  </si>
  <si>
    <t>FPL 22 LW HE UV FR 840</t>
  </si>
  <si>
    <t>FPL 14 MD UV FR 840</t>
  </si>
  <si>
    <t>FPL 24 HI UV FR 840</t>
  </si>
  <si>
    <t>FPL 24 MD HE UV FR 840</t>
  </si>
  <si>
    <t>FPL 24 MD UV FR 840</t>
  </si>
  <si>
    <t>FPL 22 MD HE UV FR 840</t>
  </si>
  <si>
    <t>FPL 22 MD UV FR 840</t>
  </si>
  <si>
    <t>FPL 22 LW HE UV FR 8350</t>
  </si>
  <si>
    <t>FPL 22 MD UV FR 850</t>
  </si>
  <si>
    <t>FPL 22 MD HE UV FR 850</t>
  </si>
  <si>
    <t>FPL 24 MD UV FR 850</t>
  </si>
  <si>
    <t>FPL 24 MD HE UV FR 850</t>
  </si>
  <si>
    <t>FPL 24 HI UV FR 850</t>
  </si>
  <si>
    <t>FPL 14 MD UV FR 850</t>
  </si>
  <si>
    <t>FPL Flat Panel</t>
  </si>
  <si>
    <t>RCL S 4 LW UV FR 835</t>
  </si>
  <si>
    <t>RCL S 4 ML UV FR 835</t>
  </si>
  <si>
    <t>RCL S 4 MD UV FR 835</t>
  </si>
  <si>
    <t>RCL S 4 MH UV FR 835</t>
  </si>
  <si>
    <t>RCL S 4 HI UV FR 835</t>
  </si>
  <si>
    <t>RCL S 4 VH UV FR 835</t>
  </si>
  <si>
    <t>RCL S 8 LW UV FR 835</t>
  </si>
  <si>
    <t>RCL S 8 ML UV FR 835</t>
  </si>
  <si>
    <t>RCL S 8 MD UV FR 835</t>
  </si>
  <si>
    <t>RCL S 8 MH UV FR 835</t>
  </si>
  <si>
    <t>RCL S 8 HI UV FR 835</t>
  </si>
  <si>
    <t>RCL S 8 VH UV FR 835</t>
  </si>
  <si>
    <t>RCL S 4 LW UV FR 840</t>
  </si>
  <si>
    <t>RCL S 4 ML UV FR 840</t>
  </si>
  <si>
    <t>RCL S 4 MD UV FR 840</t>
  </si>
  <si>
    <t>RCL S 4 MH UV FR 840</t>
  </si>
  <si>
    <t>RCL S 4 HI UV FR 840</t>
  </si>
  <si>
    <t>RCL S 4 VH UV FR 840</t>
  </si>
  <si>
    <t>RCL S 8 LW UV FR 840</t>
  </si>
  <si>
    <t>RCL S 8 ML UV FR 840</t>
  </si>
  <si>
    <t>RCL S 8 MD UV FR 840</t>
  </si>
  <si>
    <t>RCL S 8 MH UV FR 840</t>
  </si>
  <si>
    <t>RCL S 8 HI UV FR 840</t>
  </si>
  <si>
    <t>RCL S 8 VH UV FR 840</t>
  </si>
  <si>
    <t>RCL S 4 LW UV FR 850</t>
  </si>
  <si>
    <t>RCL S 4 ML UV FR 850</t>
  </si>
  <si>
    <t>RCL S 4 MD UV FR 850</t>
  </si>
  <si>
    <t>RCL S 4 MH UV FR 850</t>
  </si>
  <si>
    <t>RCL S 4 HI UV FR 850</t>
  </si>
  <si>
    <t>RCL S 4 VH UV FR 850</t>
  </si>
  <si>
    <t>RCL S 8 LW UV FR 850</t>
  </si>
  <si>
    <t>RCL S 8 ML UV FR 850</t>
  </si>
  <si>
    <t>RCL S 8 MD UV FR 850</t>
  </si>
  <si>
    <t>RCL S 8 MH UV FR 850</t>
  </si>
  <si>
    <t>RCL S 8 HI UV FR 850</t>
  </si>
  <si>
    <t>RCL S 8 VH UV FR 850</t>
  </si>
  <si>
    <t>ECL N 4 LW UV FR 835</t>
  </si>
  <si>
    <t>ECL N 4 ML UV FR 835</t>
  </si>
  <si>
    <t>ECL N 4 MD UV FR 835</t>
  </si>
  <si>
    <t>ECL N 4 MH UV FR 835</t>
  </si>
  <si>
    <t>ECL N 4 HI UV FR 835</t>
  </si>
  <si>
    <t>ECL N 4 VH UV FR 835</t>
  </si>
  <si>
    <t>ECL N 8 LW UV FR 835</t>
  </si>
  <si>
    <t>ECL N 8 ML UV FR 835</t>
  </si>
  <si>
    <t>ECL N 8 MD UV FR 835</t>
  </si>
  <si>
    <t>ECL N 8 MH UV FR 835</t>
  </si>
  <si>
    <t>ECL N 8 HI UV FR 835</t>
  </si>
  <si>
    <t>ECL N 8 VH UV FR 835</t>
  </si>
  <si>
    <t>ECL N 4 LW UV FR 840</t>
  </si>
  <si>
    <t>ECL N 4 ML UV FR 840</t>
  </si>
  <si>
    <t>ECL N 4 MD UV FR 840</t>
  </si>
  <si>
    <t>ECL N 4 MH UV FR 840</t>
  </si>
  <si>
    <t>ECL N 4 HI UV FR 840</t>
  </si>
  <si>
    <t>ECL N 4 VH UV FR 840</t>
  </si>
  <si>
    <t>ECL N 8 LW UV FR 840</t>
  </si>
  <si>
    <t>ECL N 8 ML UV FR 840</t>
  </si>
  <si>
    <t>ECL N 8 MD UV FR 840</t>
  </si>
  <si>
    <t>ECL N 8 MH UV FR 840</t>
  </si>
  <si>
    <t>ECL N 8 HI UV FR 840</t>
  </si>
  <si>
    <t>ECL N 8 VH UV FR 840</t>
  </si>
  <si>
    <t>ECL N 4 LW UV FR 850</t>
  </si>
  <si>
    <t>ECL N 4 ML UV FR 850</t>
  </si>
  <si>
    <t>ECL N 4 MD UV FR 850</t>
  </si>
  <si>
    <t>ECL N 4 MH UV FR 850</t>
  </si>
  <si>
    <t>ECL N 4 HI UV FR 850</t>
  </si>
  <si>
    <t>ECL N 4 VH UV FR 850</t>
  </si>
  <si>
    <t>ECL N 8 LW UV FR 850</t>
  </si>
  <si>
    <t>ECL N 8 ML UV FR 850</t>
  </si>
  <si>
    <t>ECL N 8 MD UV FR 850</t>
  </si>
  <si>
    <t>ECL N 8 MH UV FR 850</t>
  </si>
  <si>
    <t>ECL N 8 HI UV FR 850</t>
  </si>
  <si>
    <t>ECL N 8 VH UV FR 850</t>
  </si>
  <si>
    <t>ECL N - Narrow Strip</t>
  </si>
  <si>
    <t>RCL S  - Slide-on Strip Retrofit</t>
  </si>
  <si>
    <t>EWL 2 MD UV PH 835</t>
  </si>
  <si>
    <t>EWL 4 MD UV PH 835</t>
  </si>
  <si>
    <t>EWL 2 MD UV PW 835</t>
  </si>
  <si>
    <t>EWL 4 MD UV PW 835</t>
  </si>
  <si>
    <t>EWL 2 MD UV PH 840</t>
  </si>
  <si>
    <t>EWL 4 MD UV PH 840</t>
  </si>
  <si>
    <t>EWL 2 MD UV PW 840</t>
  </si>
  <si>
    <t>EWL 4 MD UV PW 840</t>
  </si>
  <si>
    <t>EWL 2 MD UV PH 850</t>
  </si>
  <si>
    <t>EWL 4 MD UV PH 850</t>
  </si>
  <si>
    <t>EWL 2 MD UV PW 850</t>
  </si>
  <si>
    <t>EWL 4 MD UV PW 850</t>
  </si>
  <si>
    <t>EWL Wrap</t>
  </si>
  <si>
    <t>4 FR</t>
  </si>
  <si>
    <t>2 FR</t>
  </si>
  <si>
    <t>FFR Form Focus Lay-In Retrofit Kit</t>
  </si>
  <si>
    <t>Project Name:</t>
  </si>
  <si>
    <t>Project Location:</t>
  </si>
  <si>
    <t>Project #:</t>
  </si>
  <si>
    <t>Wall Spacing (x)</t>
  </si>
  <si>
    <t>Wall Spacing (y)</t>
  </si>
  <si>
    <t xml:space="preserve">PBLU Premium Lensed High Bay </t>
  </si>
  <si>
    <t>w/ Uplight</t>
  </si>
  <si>
    <t xml:space="preserve">FFL2R HO - Form Focus 2 row </t>
  </si>
  <si>
    <t>High Output Lay-In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</si>
</sst>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164" fontId="0" fillId="0" borderId="0" xfId="0" applyNumberFormat="1"/>
    <xf numFmtId="0" fontId="1" fillId="0" borderId="0" xfId="0" applyFont="1"/>
    <xf numFmtId="1" fontId="0" fillId="0" borderId="0" xfId="0" applyNumberFormat="1"/>
    <xf numFmtId="3" fontId="0" fillId="0" borderId="0" xfId="0" applyNumberFormat="1"/>
    <xf numFmtId="0" fontId="0" fillId="0" borderId="0" xfId="0" applyAlignment="1">
      <alignment horizontal="right"/>
    </xf>
    <xf numFmtId="0" fontId="1" fillId="0" borderId="0" xfId="0" applyFont="1" applyAlignment="1">
      <alignment horizontal="left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5" fillId="0" borderId="0" xfId="0" applyFont="1"/>
    <xf numFmtId="2" fontId="0" fillId="0" borderId="0" xfId="0" applyNumberFormat="1"/>
    <xf numFmtId="0" fontId="0" fillId="3" borderId="0" xfId="0" applyFill="1"/>
    <xf numFmtId="3" fontId="0" fillId="0" borderId="2" xfId="0" applyNumberFormat="1" applyBorder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" fontId="7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1" fontId="7" fillId="0" borderId="0" xfId="0" applyNumberFormat="1" applyFont="1" applyAlignment="1">
      <alignment horizontal="right"/>
    </xf>
    <xf numFmtId="0" fontId="0" fillId="0" borderId="6" xfId="0" applyBorder="1"/>
    <xf numFmtId="2" fontId="0" fillId="3" borderId="0" xfId="0" applyNumberFormat="1" applyFill="1"/>
    <xf numFmtId="0" fontId="0" fillId="2" borderId="1" xfId="0" applyFill="1" applyBorder="1" applyProtection="1">
      <protection locked="0"/>
    </xf>
    <xf numFmtId="164" fontId="0" fillId="2" borderId="1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0" fontId="6" fillId="0" borderId="0" xfId="0" applyFont="1" applyAlignment="1">
      <alignment vertical="top" wrapText="1"/>
    </xf>
    <xf numFmtId="0" fontId="5" fillId="4" borderId="0" xfId="0" applyFont="1" applyFill="1"/>
    <xf numFmtId="0" fontId="0" fillId="4" borderId="0" xfId="0" applyFill="1"/>
    <xf numFmtId="1" fontId="0" fillId="4" borderId="0" xfId="0" applyNumberFormat="1" applyFill="1"/>
    <xf numFmtId="164" fontId="0" fillId="4" borderId="0" xfId="0" applyNumberFormat="1" applyFill="1"/>
    <xf numFmtId="0" fontId="1" fillId="4" borderId="0" xfId="0" applyFont="1" applyFill="1"/>
    <xf numFmtId="164" fontId="1" fillId="4" borderId="0" xfId="0" applyNumberFormat="1" applyFont="1" applyFill="1"/>
    <xf numFmtId="1" fontId="1" fillId="4" borderId="0" xfId="0" applyNumberFormat="1" applyFont="1" applyFill="1"/>
    <xf numFmtId="0" fontId="0" fillId="4" borderId="0" xfId="0" applyFill="1" applyAlignment="1">
      <alignment horizontal="right"/>
    </xf>
    <xf numFmtId="166" fontId="0" fillId="4" borderId="0" xfId="0" applyNumberFormat="1" applyFill="1"/>
    <xf numFmtId="1" fontId="5" fillId="4" borderId="0" xfId="0" applyNumberFormat="1" applyFont="1" applyFill="1"/>
    <xf numFmtId="0" fontId="6" fillId="0" borderId="0" xfId="0" applyFont="1" applyAlignment="1">
      <alignment horizontal="left" vertical="top" wrapText="1"/>
    </xf>
    <xf numFmtId="0" fontId="0" fillId="2" borderId="1" xfId="0" applyFill="1" applyBorder="1" applyAlignment="1" applyProtection="1">
      <alignment horizontal="left"/>
      <protection locked="0"/>
    </xf>
  </cellXfs>
  <cellStyles count="1">
    <cellStyle name="Normal" xfId="0" builtinId="0"/>
  </cellStyles>
  <dxfs count="247"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7C1-4EC9-A383-B0E6D8E964A9}"/>
            </c:ext>
          </c:extLst>
        </c:ser>
        <c:ser>
          <c:idx val="1"/>
          <c:order val="1"/>
          <c:tx>
            <c:strRef>
              <c:f>PBL!$K$12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7C1-4EC9-A383-B0E6D8E964A9}"/>
            </c:ext>
          </c:extLst>
        </c:ser>
        <c:ser>
          <c:idx val="2"/>
          <c:order val="2"/>
          <c:tx>
            <c:strRef>
              <c:f>PBL!$L$12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7C1-4EC9-A383-B0E6D8E964A9}"/>
            </c:ext>
          </c:extLst>
        </c:ser>
        <c:ser>
          <c:idx val="3"/>
          <c:order val="3"/>
          <c:tx>
            <c:strRef>
              <c:f>PBL!$M$12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7C1-4EC9-A383-B0E6D8E964A9}"/>
            </c:ext>
          </c:extLst>
        </c:ser>
        <c:ser>
          <c:idx val="4"/>
          <c:order val="4"/>
          <c:tx>
            <c:strRef>
              <c:f>PBL!$N$12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7C1-4EC9-A383-B0E6D8E964A9}"/>
            </c:ext>
          </c:extLst>
        </c:ser>
        <c:ser>
          <c:idx val="5"/>
          <c:order val="5"/>
          <c:tx>
            <c:strRef>
              <c:f>PBL!$O$12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7C1-4EC9-A383-B0E6D8E964A9}"/>
            </c:ext>
          </c:extLst>
        </c:ser>
        <c:ser>
          <c:idx val="6"/>
          <c:order val="6"/>
          <c:tx>
            <c:strRef>
              <c:f>PBL!$P$12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7C1-4EC9-A383-B0E6D8E964A9}"/>
            </c:ext>
          </c:extLst>
        </c:ser>
        <c:ser>
          <c:idx val="7"/>
          <c:order val="7"/>
          <c:tx>
            <c:strRef>
              <c:f>PBL!$Q$12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7C1-4EC9-A383-B0E6D8E964A9}"/>
            </c:ext>
          </c:extLst>
        </c:ser>
        <c:ser>
          <c:idx val="8"/>
          <c:order val="8"/>
          <c:tx>
            <c:strRef>
              <c:f>PBL!$R$12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7C1-4EC9-A383-B0E6D8E964A9}"/>
            </c:ext>
          </c:extLst>
        </c:ser>
        <c:ser>
          <c:idx val="9"/>
          <c:order val="9"/>
          <c:tx>
            <c:strRef>
              <c:f>PBL!$S$12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7C1-4EC9-A383-B0E6D8E964A9}"/>
            </c:ext>
          </c:extLst>
        </c:ser>
        <c:ser>
          <c:idx val="10"/>
          <c:order val="10"/>
          <c:tx>
            <c:strRef>
              <c:f>PBL!$T$12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7C1-4EC9-A383-B0E6D8E964A9}"/>
            </c:ext>
          </c:extLst>
        </c:ser>
        <c:ser>
          <c:idx val="11"/>
          <c:order val="11"/>
          <c:tx>
            <c:strRef>
              <c:f>PBL!$U$12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7C1-4EC9-A383-B0E6D8E964A9}"/>
            </c:ext>
          </c:extLst>
        </c:ser>
        <c:ser>
          <c:idx val="12"/>
          <c:order val="12"/>
          <c:tx>
            <c:strRef>
              <c:f>PBL!$V$12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7C1-4EC9-A383-B0E6D8E964A9}"/>
            </c:ext>
          </c:extLst>
        </c:ser>
        <c:ser>
          <c:idx val="13"/>
          <c:order val="13"/>
          <c:tx>
            <c:strRef>
              <c:f>PBL!$W$12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7C1-4EC9-A383-B0E6D8E964A9}"/>
            </c:ext>
          </c:extLst>
        </c:ser>
        <c:ser>
          <c:idx val="14"/>
          <c:order val="14"/>
          <c:tx>
            <c:strRef>
              <c:f>PBL!$X$12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PBL!$I$13:$I$23</c:f>
            </c:numRef>
          </c:xVal>
          <c:yVal>
            <c:numRef>
              <c:f>PBL!$X$13:$X$23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7C1-4EC9-A383-B0E6D8E96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PBLX!$AR$12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EC6-4CEE-A568-29844B437308}"/>
            </c:ext>
          </c:extLst>
        </c:ser>
        <c:ser>
          <c:idx val="1"/>
          <c:order val="1"/>
          <c:tx>
            <c:strRef>
              <c:f>PBLX!$AS$12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EC6-4CEE-A568-29844B437308}"/>
            </c:ext>
          </c:extLst>
        </c:ser>
        <c:ser>
          <c:idx val="2"/>
          <c:order val="2"/>
          <c:tx>
            <c:strRef>
              <c:f>PBLX!$AT$12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EC6-4CEE-A568-29844B437308}"/>
            </c:ext>
          </c:extLst>
        </c:ser>
        <c:ser>
          <c:idx val="3"/>
          <c:order val="3"/>
          <c:tx>
            <c:strRef>
              <c:f>PBLX!$AU$12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EC6-4CEE-A568-29844B437308}"/>
            </c:ext>
          </c:extLst>
        </c:ser>
        <c:ser>
          <c:idx val="4"/>
          <c:order val="4"/>
          <c:tx>
            <c:strRef>
              <c:f>PBLX!$AV$12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EC6-4CEE-A568-29844B437308}"/>
            </c:ext>
          </c:extLst>
        </c:ser>
        <c:ser>
          <c:idx val="5"/>
          <c:order val="5"/>
          <c:tx>
            <c:strRef>
              <c:f>PBLX!$AW$12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AEC6-4CEE-A568-29844B437308}"/>
            </c:ext>
          </c:extLst>
        </c:ser>
        <c:ser>
          <c:idx val="6"/>
          <c:order val="6"/>
          <c:tx>
            <c:strRef>
              <c:f>PBLX!$AX$12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AEC6-4CEE-A568-29844B437308}"/>
            </c:ext>
          </c:extLst>
        </c:ser>
        <c:ser>
          <c:idx val="7"/>
          <c:order val="7"/>
          <c:tx>
            <c:strRef>
              <c:f>PBLX!$AY$12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AEC6-4CEE-A568-29844B437308}"/>
            </c:ext>
          </c:extLst>
        </c:ser>
        <c:ser>
          <c:idx val="8"/>
          <c:order val="8"/>
          <c:tx>
            <c:strRef>
              <c:f>PBLX!$AZ$12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AEC6-4CEE-A568-29844B437308}"/>
            </c:ext>
          </c:extLst>
        </c:ser>
        <c:ser>
          <c:idx val="9"/>
          <c:order val="9"/>
          <c:tx>
            <c:strRef>
              <c:f>PBLX!$BA$12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AEC6-4CEE-A568-29844B437308}"/>
            </c:ext>
          </c:extLst>
        </c:ser>
        <c:ser>
          <c:idx val="10"/>
          <c:order val="10"/>
          <c:tx>
            <c:strRef>
              <c:f>PBLX!$BB$12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AEC6-4CEE-A568-29844B437308}"/>
            </c:ext>
          </c:extLst>
        </c:ser>
        <c:ser>
          <c:idx val="11"/>
          <c:order val="11"/>
          <c:tx>
            <c:strRef>
              <c:f>PBLX!$BC$12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AEC6-4CEE-A568-29844B437308}"/>
            </c:ext>
          </c:extLst>
        </c:ser>
        <c:ser>
          <c:idx val="12"/>
          <c:order val="12"/>
          <c:tx>
            <c:strRef>
              <c:f>PBLX!$BD$12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AEC6-4CEE-A568-29844B437308}"/>
            </c:ext>
          </c:extLst>
        </c:ser>
        <c:ser>
          <c:idx val="13"/>
          <c:order val="13"/>
          <c:tx>
            <c:strRef>
              <c:f>PBLX!$BE$12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AEC6-4CEE-A568-29844B437308}"/>
            </c:ext>
          </c:extLst>
        </c:ser>
        <c:ser>
          <c:idx val="14"/>
          <c:order val="14"/>
          <c:tx>
            <c:strRef>
              <c:f>PBLX!$BF$12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PBLX!$AQ$13:$AQ$23</c:f>
            </c:numRef>
          </c:xVal>
          <c:yVal>
            <c:numRef>
              <c:f>PBLX!$BF$13:$BF$23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AEC6-4CEE-A568-29844B43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'PBL A'!$J$12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B0C-44C5-9BF3-3B108C768720}"/>
            </c:ext>
          </c:extLst>
        </c:ser>
        <c:ser>
          <c:idx val="1"/>
          <c:order val="1"/>
          <c:tx>
            <c:strRef>
              <c:f>'PBL A'!$K$12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B0C-44C5-9BF3-3B108C768720}"/>
            </c:ext>
          </c:extLst>
        </c:ser>
        <c:ser>
          <c:idx val="2"/>
          <c:order val="2"/>
          <c:tx>
            <c:strRef>
              <c:f>'PBL A'!$L$12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DB0C-44C5-9BF3-3B108C768720}"/>
            </c:ext>
          </c:extLst>
        </c:ser>
        <c:ser>
          <c:idx val="3"/>
          <c:order val="3"/>
          <c:tx>
            <c:strRef>
              <c:f>'PBL A'!$M$12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DB0C-44C5-9BF3-3B108C768720}"/>
            </c:ext>
          </c:extLst>
        </c:ser>
        <c:ser>
          <c:idx val="4"/>
          <c:order val="4"/>
          <c:tx>
            <c:strRef>
              <c:f>'PBL A'!$N$12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B0C-44C5-9BF3-3B108C768720}"/>
            </c:ext>
          </c:extLst>
        </c:ser>
        <c:ser>
          <c:idx val="5"/>
          <c:order val="5"/>
          <c:tx>
            <c:strRef>
              <c:f>'PBL A'!$O$12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DB0C-44C5-9BF3-3B108C768720}"/>
            </c:ext>
          </c:extLst>
        </c:ser>
        <c:ser>
          <c:idx val="6"/>
          <c:order val="6"/>
          <c:tx>
            <c:strRef>
              <c:f>'PBL A'!$P$12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DB0C-44C5-9BF3-3B108C768720}"/>
            </c:ext>
          </c:extLst>
        </c:ser>
        <c:ser>
          <c:idx val="7"/>
          <c:order val="7"/>
          <c:tx>
            <c:strRef>
              <c:f>'PBL A'!$Q$12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DB0C-44C5-9BF3-3B108C768720}"/>
            </c:ext>
          </c:extLst>
        </c:ser>
        <c:ser>
          <c:idx val="8"/>
          <c:order val="8"/>
          <c:tx>
            <c:strRef>
              <c:f>'PBL A'!$R$12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DB0C-44C5-9BF3-3B108C768720}"/>
            </c:ext>
          </c:extLst>
        </c:ser>
        <c:ser>
          <c:idx val="9"/>
          <c:order val="9"/>
          <c:tx>
            <c:strRef>
              <c:f>'PBL A'!$S$12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DB0C-44C5-9BF3-3B108C768720}"/>
            </c:ext>
          </c:extLst>
        </c:ser>
        <c:ser>
          <c:idx val="10"/>
          <c:order val="10"/>
          <c:tx>
            <c:strRef>
              <c:f>'PBL A'!$T$12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DB0C-44C5-9BF3-3B108C768720}"/>
            </c:ext>
          </c:extLst>
        </c:ser>
        <c:ser>
          <c:idx val="11"/>
          <c:order val="11"/>
          <c:tx>
            <c:strRef>
              <c:f>'PBL A'!$U$12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DB0C-44C5-9BF3-3B108C768720}"/>
            </c:ext>
          </c:extLst>
        </c:ser>
        <c:ser>
          <c:idx val="12"/>
          <c:order val="12"/>
          <c:tx>
            <c:strRef>
              <c:f>'PBL A'!$V$12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DB0C-44C5-9BF3-3B108C768720}"/>
            </c:ext>
          </c:extLst>
        </c:ser>
        <c:ser>
          <c:idx val="13"/>
          <c:order val="13"/>
          <c:tx>
            <c:strRef>
              <c:f>'PBL A'!$W$12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DB0C-44C5-9BF3-3B108C768720}"/>
            </c:ext>
          </c:extLst>
        </c:ser>
        <c:ser>
          <c:idx val="14"/>
          <c:order val="14"/>
          <c:tx>
            <c:strRef>
              <c:f>'PBL A'!$X$12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A'!$I$13:$I$23</c:f>
            </c:numRef>
          </c:xVal>
          <c:yVal>
            <c:numRef>
              <c:f>'PBL A'!$X$13:$X$23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DB0C-44C5-9BF3-3B108C76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'PBL A'!$AA$12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2F9-47DA-A17E-B809C5F9FF13}"/>
            </c:ext>
          </c:extLst>
        </c:ser>
        <c:ser>
          <c:idx val="1"/>
          <c:order val="1"/>
          <c:tx>
            <c:strRef>
              <c:f>'PBL A'!$AB$12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2F9-47DA-A17E-B809C5F9FF13}"/>
            </c:ext>
          </c:extLst>
        </c:ser>
        <c:ser>
          <c:idx val="2"/>
          <c:order val="2"/>
          <c:tx>
            <c:strRef>
              <c:f>'PBL A'!$AC$12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92F9-47DA-A17E-B809C5F9FF13}"/>
            </c:ext>
          </c:extLst>
        </c:ser>
        <c:ser>
          <c:idx val="3"/>
          <c:order val="3"/>
          <c:tx>
            <c:strRef>
              <c:f>'PBL A'!$AD$12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92F9-47DA-A17E-B809C5F9FF13}"/>
            </c:ext>
          </c:extLst>
        </c:ser>
        <c:ser>
          <c:idx val="4"/>
          <c:order val="4"/>
          <c:tx>
            <c:strRef>
              <c:f>'PBL A'!$AE$12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F9-47DA-A17E-B809C5F9FF13}"/>
            </c:ext>
          </c:extLst>
        </c:ser>
        <c:ser>
          <c:idx val="5"/>
          <c:order val="5"/>
          <c:tx>
            <c:strRef>
              <c:f>'PBL A'!$AF$12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92F9-47DA-A17E-B809C5F9FF13}"/>
            </c:ext>
          </c:extLst>
        </c:ser>
        <c:ser>
          <c:idx val="6"/>
          <c:order val="6"/>
          <c:tx>
            <c:strRef>
              <c:f>'PBL A'!$AG$12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92F9-47DA-A17E-B809C5F9FF13}"/>
            </c:ext>
          </c:extLst>
        </c:ser>
        <c:ser>
          <c:idx val="7"/>
          <c:order val="7"/>
          <c:tx>
            <c:strRef>
              <c:f>'PBL A'!$AH$12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92F9-47DA-A17E-B809C5F9FF13}"/>
            </c:ext>
          </c:extLst>
        </c:ser>
        <c:ser>
          <c:idx val="8"/>
          <c:order val="8"/>
          <c:tx>
            <c:strRef>
              <c:f>'PBL A'!$AI$12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92F9-47DA-A17E-B809C5F9FF13}"/>
            </c:ext>
          </c:extLst>
        </c:ser>
        <c:ser>
          <c:idx val="9"/>
          <c:order val="9"/>
          <c:tx>
            <c:strRef>
              <c:f>'PBL A'!$AJ$12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92F9-47DA-A17E-B809C5F9FF13}"/>
            </c:ext>
          </c:extLst>
        </c:ser>
        <c:ser>
          <c:idx val="10"/>
          <c:order val="10"/>
          <c:tx>
            <c:strRef>
              <c:f>'PBL A'!$AK$12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92F9-47DA-A17E-B809C5F9FF13}"/>
            </c:ext>
          </c:extLst>
        </c:ser>
        <c:ser>
          <c:idx val="11"/>
          <c:order val="11"/>
          <c:tx>
            <c:strRef>
              <c:f>'PBL A'!$AL$12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92F9-47DA-A17E-B809C5F9FF13}"/>
            </c:ext>
          </c:extLst>
        </c:ser>
        <c:ser>
          <c:idx val="12"/>
          <c:order val="12"/>
          <c:tx>
            <c:strRef>
              <c:f>'PBL A'!$AM$12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92F9-47DA-A17E-B809C5F9FF13}"/>
            </c:ext>
          </c:extLst>
        </c:ser>
        <c:ser>
          <c:idx val="13"/>
          <c:order val="13"/>
          <c:tx>
            <c:strRef>
              <c:f>'PBL A'!$AN$12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92F9-47DA-A17E-B809C5F9FF13}"/>
            </c:ext>
          </c:extLst>
        </c:ser>
        <c:ser>
          <c:idx val="14"/>
          <c:order val="14"/>
          <c:tx>
            <c:strRef>
              <c:f>'PBL A'!$AO$12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A'!$Z$13:$Z$23</c:f>
            </c:numRef>
          </c:xVal>
          <c:yVal>
            <c:numRef>
              <c:f>'PBL A'!$AO$13:$AO$23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92F9-47DA-A17E-B809C5F9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'PBL A'!$AR$12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05A-4076-AE15-D79410F54EF3}"/>
            </c:ext>
          </c:extLst>
        </c:ser>
        <c:ser>
          <c:idx val="1"/>
          <c:order val="1"/>
          <c:tx>
            <c:strRef>
              <c:f>'PBL A'!$AS$12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05A-4076-AE15-D79410F54EF3}"/>
            </c:ext>
          </c:extLst>
        </c:ser>
        <c:ser>
          <c:idx val="2"/>
          <c:order val="2"/>
          <c:tx>
            <c:strRef>
              <c:f>'PBL A'!$AT$12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05A-4076-AE15-D79410F54EF3}"/>
            </c:ext>
          </c:extLst>
        </c:ser>
        <c:ser>
          <c:idx val="3"/>
          <c:order val="3"/>
          <c:tx>
            <c:strRef>
              <c:f>'PBL A'!$AU$12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05A-4076-AE15-D79410F54EF3}"/>
            </c:ext>
          </c:extLst>
        </c:ser>
        <c:ser>
          <c:idx val="4"/>
          <c:order val="4"/>
          <c:tx>
            <c:strRef>
              <c:f>'PBL A'!$AV$12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05A-4076-AE15-D79410F54EF3}"/>
            </c:ext>
          </c:extLst>
        </c:ser>
        <c:ser>
          <c:idx val="5"/>
          <c:order val="5"/>
          <c:tx>
            <c:strRef>
              <c:f>'PBL A'!$AW$12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05A-4076-AE15-D79410F54EF3}"/>
            </c:ext>
          </c:extLst>
        </c:ser>
        <c:ser>
          <c:idx val="6"/>
          <c:order val="6"/>
          <c:tx>
            <c:strRef>
              <c:f>'PBL A'!$AX$12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05A-4076-AE15-D79410F54EF3}"/>
            </c:ext>
          </c:extLst>
        </c:ser>
        <c:ser>
          <c:idx val="7"/>
          <c:order val="7"/>
          <c:tx>
            <c:strRef>
              <c:f>'PBL A'!$AY$12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05A-4076-AE15-D79410F54EF3}"/>
            </c:ext>
          </c:extLst>
        </c:ser>
        <c:ser>
          <c:idx val="8"/>
          <c:order val="8"/>
          <c:tx>
            <c:strRef>
              <c:f>'PBL A'!$AZ$12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05A-4076-AE15-D79410F54EF3}"/>
            </c:ext>
          </c:extLst>
        </c:ser>
        <c:ser>
          <c:idx val="9"/>
          <c:order val="9"/>
          <c:tx>
            <c:strRef>
              <c:f>'PBL A'!$BA$12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05A-4076-AE15-D79410F54EF3}"/>
            </c:ext>
          </c:extLst>
        </c:ser>
        <c:ser>
          <c:idx val="10"/>
          <c:order val="10"/>
          <c:tx>
            <c:strRef>
              <c:f>'PBL A'!$BB$12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05A-4076-AE15-D79410F54EF3}"/>
            </c:ext>
          </c:extLst>
        </c:ser>
        <c:ser>
          <c:idx val="11"/>
          <c:order val="11"/>
          <c:tx>
            <c:strRef>
              <c:f>'PBL A'!$BC$12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05A-4076-AE15-D79410F54EF3}"/>
            </c:ext>
          </c:extLst>
        </c:ser>
        <c:ser>
          <c:idx val="12"/>
          <c:order val="12"/>
          <c:tx>
            <c:strRef>
              <c:f>'PBL A'!$BD$12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05A-4076-AE15-D79410F54EF3}"/>
            </c:ext>
          </c:extLst>
        </c:ser>
        <c:ser>
          <c:idx val="13"/>
          <c:order val="13"/>
          <c:tx>
            <c:strRef>
              <c:f>'PBL A'!$BE$12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05A-4076-AE15-D79410F54EF3}"/>
            </c:ext>
          </c:extLst>
        </c:ser>
        <c:ser>
          <c:idx val="14"/>
          <c:order val="14"/>
          <c:tx>
            <c:strRef>
              <c:f>'PBL A'!$BF$12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'PBL A'!$AQ$13:$AQ$23</c:f>
            </c:numRef>
          </c:xVal>
          <c:yVal>
            <c:numRef>
              <c:f>'PBL A'!$BF$13:$BF$23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05A-4076-AE15-D79410F5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EBL!$J$12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564-455E-A7F5-4BD6F1EF35FB}"/>
            </c:ext>
          </c:extLst>
        </c:ser>
        <c:ser>
          <c:idx val="1"/>
          <c:order val="1"/>
          <c:tx>
            <c:strRef>
              <c:f>EBL!$K$12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564-455E-A7F5-4BD6F1EF35FB}"/>
            </c:ext>
          </c:extLst>
        </c:ser>
        <c:ser>
          <c:idx val="2"/>
          <c:order val="2"/>
          <c:tx>
            <c:strRef>
              <c:f>EBL!$L$12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D564-455E-A7F5-4BD6F1EF35FB}"/>
            </c:ext>
          </c:extLst>
        </c:ser>
        <c:ser>
          <c:idx val="3"/>
          <c:order val="3"/>
          <c:tx>
            <c:strRef>
              <c:f>EBL!$M$12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D564-455E-A7F5-4BD6F1EF35FB}"/>
            </c:ext>
          </c:extLst>
        </c:ser>
        <c:ser>
          <c:idx val="4"/>
          <c:order val="4"/>
          <c:tx>
            <c:strRef>
              <c:f>EBL!$N$12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564-455E-A7F5-4BD6F1EF35FB}"/>
            </c:ext>
          </c:extLst>
        </c:ser>
        <c:ser>
          <c:idx val="5"/>
          <c:order val="5"/>
          <c:tx>
            <c:strRef>
              <c:f>EBL!$O$12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D564-455E-A7F5-4BD6F1EF35FB}"/>
            </c:ext>
          </c:extLst>
        </c:ser>
        <c:ser>
          <c:idx val="6"/>
          <c:order val="6"/>
          <c:tx>
            <c:strRef>
              <c:f>EBL!$P$12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D564-455E-A7F5-4BD6F1EF35FB}"/>
            </c:ext>
          </c:extLst>
        </c:ser>
        <c:ser>
          <c:idx val="7"/>
          <c:order val="7"/>
          <c:tx>
            <c:strRef>
              <c:f>EBL!$Q$12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D564-455E-A7F5-4BD6F1EF35FB}"/>
            </c:ext>
          </c:extLst>
        </c:ser>
        <c:ser>
          <c:idx val="8"/>
          <c:order val="8"/>
          <c:tx>
            <c:strRef>
              <c:f>EBL!$R$12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D564-455E-A7F5-4BD6F1EF35FB}"/>
            </c:ext>
          </c:extLst>
        </c:ser>
        <c:ser>
          <c:idx val="9"/>
          <c:order val="9"/>
          <c:tx>
            <c:strRef>
              <c:f>EBL!$S$12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D564-455E-A7F5-4BD6F1EF35FB}"/>
            </c:ext>
          </c:extLst>
        </c:ser>
        <c:ser>
          <c:idx val="10"/>
          <c:order val="10"/>
          <c:tx>
            <c:strRef>
              <c:f>EBL!$T$12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D564-455E-A7F5-4BD6F1EF35FB}"/>
            </c:ext>
          </c:extLst>
        </c:ser>
        <c:ser>
          <c:idx val="11"/>
          <c:order val="11"/>
          <c:tx>
            <c:strRef>
              <c:f>EBL!$U$12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D564-455E-A7F5-4BD6F1EF35FB}"/>
            </c:ext>
          </c:extLst>
        </c:ser>
        <c:ser>
          <c:idx val="12"/>
          <c:order val="12"/>
          <c:tx>
            <c:strRef>
              <c:f>EBL!$V$12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D564-455E-A7F5-4BD6F1EF35FB}"/>
            </c:ext>
          </c:extLst>
        </c:ser>
        <c:ser>
          <c:idx val="13"/>
          <c:order val="13"/>
          <c:tx>
            <c:strRef>
              <c:f>EBL!$W$12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D564-455E-A7F5-4BD6F1EF35FB}"/>
            </c:ext>
          </c:extLst>
        </c:ser>
        <c:ser>
          <c:idx val="14"/>
          <c:order val="14"/>
          <c:tx>
            <c:strRef>
              <c:f>EBL!$X$12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EBL!$I$13:$I$23</c:f>
            </c:numRef>
          </c:xVal>
          <c:yVal>
            <c:numRef>
              <c:f>EBL!$X$13:$X$23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D564-455E-A7F5-4BD6F1EF3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EBL!$AA$12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869-4B61-8A1E-DFC5F37C73C4}"/>
            </c:ext>
          </c:extLst>
        </c:ser>
        <c:ser>
          <c:idx val="1"/>
          <c:order val="1"/>
          <c:tx>
            <c:strRef>
              <c:f>EBL!$AB$12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869-4B61-8A1E-DFC5F37C73C4}"/>
            </c:ext>
          </c:extLst>
        </c:ser>
        <c:ser>
          <c:idx val="2"/>
          <c:order val="2"/>
          <c:tx>
            <c:strRef>
              <c:f>EBL!$AC$12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C869-4B61-8A1E-DFC5F37C73C4}"/>
            </c:ext>
          </c:extLst>
        </c:ser>
        <c:ser>
          <c:idx val="3"/>
          <c:order val="3"/>
          <c:tx>
            <c:strRef>
              <c:f>EBL!$AD$12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C869-4B61-8A1E-DFC5F37C73C4}"/>
            </c:ext>
          </c:extLst>
        </c:ser>
        <c:ser>
          <c:idx val="4"/>
          <c:order val="4"/>
          <c:tx>
            <c:strRef>
              <c:f>EBL!$AE$12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869-4B61-8A1E-DFC5F37C73C4}"/>
            </c:ext>
          </c:extLst>
        </c:ser>
        <c:ser>
          <c:idx val="5"/>
          <c:order val="5"/>
          <c:tx>
            <c:strRef>
              <c:f>EBL!$AF$12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869-4B61-8A1E-DFC5F37C73C4}"/>
            </c:ext>
          </c:extLst>
        </c:ser>
        <c:ser>
          <c:idx val="6"/>
          <c:order val="6"/>
          <c:tx>
            <c:strRef>
              <c:f>EBL!$AG$12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C869-4B61-8A1E-DFC5F37C73C4}"/>
            </c:ext>
          </c:extLst>
        </c:ser>
        <c:ser>
          <c:idx val="7"/>
          <c:order val="7"/>
          <c:tx>
            <c:strRef>
              <c:f>EBL!$AH$12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C869-4B61-8A1E-DFC5F37C73C4}"/>
            </c:ext>
          </c:extLst>
        </c:ser>
        <c:ser>
          <c:idx val="8"/>
          <c:order val="8"/>
          <c:tx>
            <c:strRef>
              <c:f>EBL!$AI$12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C869-4B61-8A1E-DFC5F37C73C4}"/>
            </c:ext>
          </c:extLst>
        </c:ser>
        <c:ser>
          <c:idx val="9"/>
          <c:order val="9"/>
          <c:tx>
            <c:strRef>
              <c:f>EBL!$AJ$12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C869-4B61-8A1E-DFC5F37C73C4}"/>
            </c:ext>
          </c:extLst>
        </c:ser>
        <c:ser>
          <c:idx val="10"/>
          <c:order val="10"/>
          <c:tx>
            <c:strRef>
              <c:f>EBL!$AK$12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C869-4B61-8A1E-DFC5F37C73C4}"/>
            </c:ext>
          </c:extLst>
        </c:ser>
        <c:ser>
          <c:idx val="11"/>
          <c:order val="11"/>
          <c:tx>
            <c:strRef>
              <c:f>EBL!$AL$12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869-4B61-8A1E-DFC5F37C73C4}"/>
            </c:ext>
          </c:extLst>
        </c:ser>
        <c:ser>
          <c:idx val="12"/>
          <c:order val="12"/>
          <c:tx>
            <c:strRef>
              <c:f>EBL!$AM$12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C869-4B61-8A1E-DFC5F37C73C4}"/>
            </c:ext>
          </c:extLst>
        </c:ser>
        <c:ser>
          <c:idx val="13"/>
          <c:order val="13"/>
          <c:tx>
            <c:strRef>
              <c:f>EBL!$AN$12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869-4B61-8A1E-DFC5F37C73C4}"/>
            </c:ext>
          </c:extLst>
        </c:ser>
        <c:ser>
          <c:idx val="14"/>
          <c:order val="14"/>
          <c:tx>
            <c:strRef>
              <c:f>EBL!$AO$12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EBL!$Z$13:$Z$23</c:f>
            </c:numRef>
          </c:xVal>
          <c:yVal>
            <c:numRef>
              <c:f>EBL!$AO$13:$AO$23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869-4B61-8A1E-DFC5F37C7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EBL!$AR$12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BE1-4214-93E1-985B48AFEA6F}"/>
            </c:ext>
          </c:extLst>
        </c:ser>
        <c:ser>
          <c:idx val="1"/>
          <c:order val="1"/>
          <c:tx>
            <c:strRef>
              <c:f>EBL!$AS$12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BE1-4214-93E1-985B48AFEA6F}"/>
            </c:ext>
          </c:extLst>
        </c:ser>
        <c:ser>
          <c:idx val="2"/>
          <c:order val="2"/>
          <c:tx>
            <c:strRef>
              <c:f>EBL!$AT$12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BE1-4214-93E1-985B48AFEA6F}"/>
            </c:ext>
          </c:extLst>
        </c:ser>
        <c:ser>
          <c:idx val="3"/>
          <c:order val="3"/>
          <c:tx>
            <c:strRef>
              <c:f>EBL!$AU$12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BE1-4214-93E1-985B48AFEA6F}"/>
            </c:ext>
          </c:extLst>
        </c:ser>
        <c:ser>
          <c:idx val="4"/>
          <c:order val="4"/>
          <c:tx>
            <c:strRef>
              <c:f>EBL!$AV$12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BE1-4214-93E1-985B48AFEA6F}"/>
            </c:ext>
          </c:extLst>
        </c:ser>
        <c:ser>
          <c:idx val="5"/>
          <c:order val="5"/>
          <c:tx>
            <c:strRef>
              <c:f>EBL!$AW$12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6BE1-4214-93E1-985B48AFEA6F}"/>
            </c:ext>
          </c:extLst>
        </c:ser>
        <c:ser>
          <c:idx val="6"/>
          <c:order val="6"/>
          <c:tx>
            <c:strRef>
              <c:f>EBL!$AX$12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6BE1-4214-93E1-985B48AFEA6F}"/>
            </c:ext>
          </c:extLst>
        </c:ser>
        <c:ser>
          <c:idx val="7"/>
          <c:order val="7"/>
          <c:tx>
            <c:strRef>
              <c:f>EBL!$AY$12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6BE1-4214-93E1-985B48AFEA6F}"/>
            </c:ext>
          </c:extLst>
        </c:ser>
        <c:ser>
          <c:idx val="8"/>
          <c:order val="8"/>
          <c:tx>
            <c:strRef>
              <c:f>EBL!$AZ$12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6BE1-4214-93E1-985B48AFEA6F}"/>
            </c:ext>
          </c:extLst>
        </c:ser>
        <c:ser>
          <c:idx val="9"/>
          <c:order val="9"/>
          <c:tx>
            <c:strRef>
              <c:f>EBL!$BA$12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6BE1-4214-93E1-985B48AFEA6F}"/>
            </c:ext>
          </c:extLst>
        </c:ser>
        <c:ser>
          <c:idx val="10"/>
          <c:order val="10"/>
          <c:tx>
            <c:strRef>
              <c:f>EBL!$BB$12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6BE1-4214-93E1-985B48AFEA6F}"/>
            </c:ext>
          </c:extLst>
        </c:ser>
        <c:ser>
          <c:idx val="11"/>
          <c:order val="11"/>
          <c:tx>
            <c:strRef>
              <c:f>EBL!$BC$12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6BE1-4214-93E1-985B48AFEA6F}"/>
            </c:ext>
          </c:extLst>
        </c:ser>
        <c:ser>
          <c:idx val="12"/>
          <c:order val="12"/>
          <c:tx>
            <c:strRef>
              <c:f>EBL!$BD$12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6BE1-4214-93E1-985B48AFEA6F}"/>
            </c:ext>
          </c:extLst>
        </c:ser>
        <c:ser>
          <c:idx val="13"/>
          <c:order val="13"/>
          <c:tx>
            <c:strRef>
              <c:f>EBL!$BE$12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6BE1-4214-93E1-985B48AFEA6F}"/>
            </c:ext>
          </c:extLst>
        </c:ser>
        <c:ser>
          <c:idx val="14"/>
          <c:order val="14"/>
          <c:tx>
            <c:strRef>
              <c:f>EBL!$BF$12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EBL!$AQ$13:$AQ$23</c:f>
            </c:numRef>
          </c:xVal>
          <c:yVal>
            <c:numRef>
              <c:f>EBL!$BF$13:$BF$23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6BE1-4214-93E1-985B48AFE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'WVL2'!$J$12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38E-4D66-BE36-AA9F9D2C86E9}"/>
            </c:ext>
          </c:extLst>
        </c:ser>
        <c:ser>
          <c:idx val="1"/>
          <c:order val="1"/>
          <c:tx>
            <c:strRef>
              <c:f>'WVL2'!$K$12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38E-4D66-BE36-AA9F9D2C86E9}"/>
            </c:ext>
          </c:extLst>
        </c:ser>
        <c:ser>
          <c:idx val="2"/>
          <c:order val="2"/>
          <c:tx>
            <c:strRef>
              <c:f>'WVL2'!$L$12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838E-4D66-BE36-AA9F9D2C86E9}"/>
            </c:ext>
          </c:extLst>
        </c:ser>
        <c:ser>
          <c:idx val="3"/>
          <c:order val="3"/>
          <c:tx>
            <c:strRef>
              <c:f>'WVL2'!$M$12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838E-4D66-BE36-AA9F9D2C86E9}"/>
            </c:ext>
          </c:extLst>
        </c:ser>
        <c:ser>
          <c:idx val="4"/>
          <c:order val="4"/>
          <c:tx>
            <c:strRef>
              <c:f>'WVL2'!$N$12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38E-4D66-BE36-AA9F9D2C86E9}"/>
            </c:ext>
          </c:extLst>
        </c:ser>
        <c:ser>
          <c:idx val="5"/>
          <c:order val="5"/>
          <c:tx>
            <c:strRef>
              <c:f>'WVL2'!$O$12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838E-4D66-BE36-AA9F9D2C86E9}"/>
            </c:ext>
          </c:extLst>
        </c:ser>
        <c:ser>
          <c:idx val="6"/>
          <c:order val="6"/>
          <c:tx>
            <c:strRef>
              <c:f>'WVL2'!$P$12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838E-4D66-BE36-AA9F9D2C86E9}"/>
            </c:ext>
          </c:extLst>
        </c:ser>
        <c:ser>
          <c:idx val="7"/>
          <c:order val="7"/>
          <c:tx>
            <c:strRef>
              <c:f>'WVL2'!$Q$12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838E-4D66-BE36-AA9F9D2C86E9}"/>
            </c:ext>
          </c:extLst>
        </c:ser>
        <c:ser>
          <c:idx val="8"/>
          <c:order val="8"/>
          <c:tx>
            <c:strRef>
              <c:f>'WVL2'!$R$12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838E-4D66-BE36-AA9F9D2C86E9}"/>
            </c:ext>
          </c:extLst>
        </c:ser>
        <c:ser>
          <c:idx val="9"/>
          <c:order val="9"/>
          <c:tx>
            <c:strRef>
              <c:f>'WVL2'!$S$12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838E-4D66-BE36-AA9F9D2C86E9}"/>
            </c:ext>
          </c:extLst>
        </c:ser>
        <c:ser>
          <c:idx val="10"/>
          <c:order val="10"/>
          <c:tx>
            <c:strRef>
              <c:f>'WVL2'!$T$12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838E-4D66-BE36-AA9F9D2C86E9}"/>
            </c:ext>
          </c:extLst>
        </c:ser>
        <c:ser>
          <c:idx val="11"/>
          <c:order val="11"/>
          <c:tx>
            <c:strRef>
              <c:f>'WVL2'!$U$12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838E-4D66-BE36-AA9F9D2C86E9}"/>
            </c:ext>
          </c:extLst>
        </c:ser>
        <c:ser>
          <c:idx val="12"/>
          <c:order val="12"/>
          <c:tx>
            <c:strRef>
              <c:f>'WVL2'!$V$12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838E-4D66-BE36-AA9F9D2C86E9}"/>
            </c:ext>
          </c:extLst>
        </c:ser>
        <c:ser>
          <c:idx val="13"/>
          <c:order val="13"/>
          <c:tx>
            <c:strRef>
              <c:f>'WVL2'!$W$12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838E-4D66-BE36-AA9F9D2C86E9}"/>
            </c:ext>
          </c:extLst>
        </c:ser>
        <c:ser>
          <c:idx val="14"/>
          <c:order val="14"/>
          <c:tx>
            <c:strRef>
              <c:f>'WVL2'!$X$12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'WVL2'!$I$13:$I$23</c:f>
            </c:numRef>
          </c:xVal>
          <c:yVal>
            <c:numRef>
              <c:f>'WVL2'!$X$13:$X$23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838E-4D66-BE36-AA9F9D2C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'WVL2'!$AA$12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BE0-4F84-8126-9CDD008DA65B}"/>
            </c:ext>
          </c:extLst>
        </c:ser>
        <c:ser>
          <c:idx val="1"/>
          <c:order val="1"/>
          <c:tx>
            <c:strRef>
              <c:f>'WVL2'!$AB$12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BE0-4F84-8126-9CDD008DA65B}"/>
            </c:ext>
          </c:extLst>
        </c:ser>
        <c:ser>
          <c:idx val="2"/>
          <c:order val="2"/>
          <c:tx>
            <c:strRef>
              <c:f>'WVL2'!$AC$12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CBE0-4F84-8126-9CDD008DA65B}"/>
            </c:ext>
          </c:extLst>
        </c:ser>
        <c:ser>
          <c:idx val="3"/>
          <c:order val="3"/>
          <c:tx>
            <c:strRef>
              <c:f>'WVL2'!$AD$12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CBE0-4F84-8126-9CDD008DA65B}"/>
            </c:ext>
          </c:extLst>
        </c:ser>
        <c:ser>
          <c:idx val="4"/>
          <c:order val="4"/>
          <c:tx>
            <c:strRef>
              <c:f>'WVL2'!$AE$12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BE0-4F84-8126-9CDD008DA65B}"/>
            </c:ext>
          </c:extLst>
        </c:ser>
        <c:ser>
          <c:idx val="5"/>
          <c:order val="5"/>
          <c:tx>
            <c:strRef>
              <c:f>'WVL2'!$AF$12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BE0-4F84-8126-9CDD008DA65B}"/>
            </c:ext>
          </c:extLst>
        </c:ser>
        <c:ser>
          <c:idx val="6"/>
          <c:order val="6"/>
          <c:tx>
            <c:strRef>
              <c:f>'WVL2'!$AG$12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CBE0-4F84-8126-9CDD008DA65B}"/>
            </c:ext>
          </c:extLst>
        </c:ser>
        <c:ser>
          <c:idx val="7"/>
          <c:order val="7"/>
          <c:tx>
            <c:strRef>
              <c:f>'WVL2'!$AH$12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CBE0-4F84-8126-9CDD008DA65B}"/>
            </c:ext>
          </c:extLst>
        </c:ser>
        <c:ser>
          <c:idx val="8"/>
          <c:order val="8"/>
          <c:tx>
            <c:strRef>
              <c:f>'WVL2'!$AI$12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CBE0-4F84-8126-9CDD008DA65B}"/>
            </c:ext>
          </c:extLst>
        </c:ser>
        <c:ser>
          <c:idx val="9"/>
          <c:order val="9"/>
          <c:tx>
            <c:strRef>
              <c:f>'WVL2'!$AJ$12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CBE0-4F84-8126-9CDD008DA65B}"/>
            </c:ext>
          </c:extLst>
        </c:ser>
        <c:ser>
          <c:idx val="10"/>
          <c:order val="10"/>
          <c:tx>
            <c:strRef>
              <c:f>'WVL2'!$AK$12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CBE0-4F84-8126-9CDD008DA65B}"/>
            </c:ext>
          </c:extLst>
        </c:ser>
        <c:ser>
          <c:idx val="11"/>
          <c:order val="11"/>
          <c:tx>
            <c:strRef>
              <c:f>'WVL2'!$AL$12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BE0-4F84-8126-9CDD008DA65B}"/>
            </c:ext>
          </c:extLst>
        </c:ser>
        <c:ser>
          <c:idx val="12"/>
          <c:order val="12"/>
          <c:tx>
            <c:strRef>
              <c:f>'WVL2'!$AM$12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CBE0-4F84-8126-9CDD008DA65B}"/>
            </c:ext>
          </c:extLst>
        </c:ser>
        <c:ser>
          <c:idx val="13"/>
          <c:order val="13"/>
          <c:tx>
            <c:strRef>
              <c:f>'WVL2'!$AN$12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BE0-4F84-8126-9CDD008DA65B}"/>
            </c:ext>
          </c:extLst>
        </c:ser>
        <c:ser>
          <c:idx val="14"/>
          <c:order val="14"/>
          <c:tx>
            <c:strRef>
              <c:f>'WVL2'!$AO$12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'WVL2'!$Z$13:$Z$23</c:f>
            </c:numRef>
          </c:xVal>
          <c:yVal>
            <c:numRef>
              <c:f>'WVL2'!$AO$13:$AO$23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BE0-4F84-8126-9CDD008DA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'WVL2'!$AR$12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6CA-47C9-9386-37093813526E}"/>
            </c:ext>
          </c:extLst>
        </c:ser>
        <c:ser>
          <c:idx val="1"/>
          <c:order val="1"/>
          <c:tx>
            <c:strRef>
              <c:f>'WVL2'!$AS$12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6CA-47C9-9386-37093813526E}"/>
            </c:ext>
          </c:extLst>
        </c:ser>
        <c:ser>
          <c:idx val="2"/>
          <c:order val="2"/>
          <c:tx>
            <c:strRef>
              <c:f>'WVL2'!$AT$12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6CA-47C9-9386-37093813526E}"/>
            </c:ext>
          </c:extLst>
        </c:ser>
        <c:ser>
          <c:idx val="3"/>
          <c:order val="3"/>
          <c:tx>
            <c:strRef>
              <c:f>'WVL2'!$AU$12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36CA-47C9-9386-37093813526E}"/>
            </c:ext>
          </c:extLst>
        </c:ser>
        <c:ser>
          <c:idx val="4"/>
          <c:order val="4"/>
          <c:tx>
            <c:strRef>
              <c:f>'WVL2'!$AV$12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36CA-47C9-9386-37093813526E}"/>
            </c:ext>
          </c:extLst>
        </c:ser>
        <c:ser>
          <c:idx val="5"/>
          <c:order val="5"/>
          <c:tx>
            <c:strRef>
              <c:f>'WVL2'!$AW$12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36CA-47C9-9386-37093813526E}"/>
            </c:ext>
          </c:extLst>
        </c:ser>
        <c:ser>
          <c:idx val="6"/>
          <c:order val="6"/>
          <c:tx>
            <c:strRef>
              <c:f>'WVL2'!$AX$12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36CA-47C9-9386-37093813526E}"/>
            </c:ext>
          </c:extLst>
        </c:ser>
        <c:ser>
          <c:idx val="7"/>
          <c:order val="7"/>
          <c:tx>
            <c:strRef>
              <c:f>'WVL2'!$AY$12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6CA-47C9-9386-37093813526E}"/>
            </c:ext>
          </c:extLst>
        </c:ser>
        <c:ser>
          <c:idx val="8"/>
          <c:order val="8"/>
          <c:tx>
            <c:strRef>
              <c:f>'WVL2'!$AZ$12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36CA-47C9-9386-37093813526E}"/>
            </c:ext>
          </c:extLst>
        </c:ser>
        <c:ser>
          <c:idx val="9"/>
          <c:order val="9"/>
          <c:tx>
            <c:strRef>
              <c:f>'WVL2'!$BA$12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6CA-47C9-9386-37093813526E}"/>
            </c:ext>
          </c:extLst>
        </c:ser>
        <c:ser>
          <c:idx val="10"/>
          <c:order val="10"/>
          <c:tx>
            <c:strRef>
              <c:f>'WVL2'!$BB$12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36CA-47C9-9386-37093813526E}"/>
            </c:ext>
          </c:extLst>
        </c:ser>
        <c:ser>
          <c:idx val="11"/>
          <c:order val="11"/>
          <c:tx>
            <c:strRef>
              <c:f>'WVL2'!$BC$12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36CA-47C9-9386-37093813526E}"/>
            </c:ext>
          </c:extLst>
        </c:ser>
        <c:ser>
          <c:idx val="12"/>
          <c:order val="12"/>
          <c:tx>
            <c:strRef>
              <c:f>'WVL2'!$BD$12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36CA-47C9-9386-37093813526E}"/>
            </c:ext>
          </c:extLst>
        </c:ser>
        <c:ser>
          <c:idx val="13"/>
          <c:order val="13"/>
          <c:tx>
            <c:strRef>
              <c:f>'WVL2'!$BE$12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6CA-47C9-9386-37093813526E}"/>
            </c:ext>
          </c:extLst>
        </c:ser>
        <c:ser>
          <c:idx val="14"/>
          <c:order val="14"/>
          <c:tx>
            <c:strRef>
              <c:f>'WVL2'!$BF$12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'WVL2'!$AQ$13:$AQ$23</c:f>
            </c:numRef>
          </c:xVal>
          <c:yVal>
            <c:numRef>
              <c:f>'WVL2'!$BF$13:$BF$23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36CA-47C9-9386-370938135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E22-4F64-943B-AFA58FF18FF3}"/>
            </c:ext>
          </c:extLst>
        </c:ser>
        <c:ser>
          <c:idx val="1"/>
          <c:order val="1"/>
          <c:tx>
            <c:strRef>
              <c:f>PBL!$AB$12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E22-4F64-943B-AFA58FF18FF3}"/>
            </c:ext>
          </c:extLst>
        </c:ser>
        <c:ser>
          <c:idx val="2"/>
          <c:order val="2"/>
          <c:tx>
            <c:strRef>
              <c:f>PBL!$AC$12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E22-4F64-943B-AFA58FF18FF3}"/>
            </c:ext>
          </c:extLst>
        </c:ser>
        <c:ser>
          <c:idx val="3"/>
          <c:order val="3"/>
          <c:tx>
            <c:strRef>
              <c:f>PBL!$AD$12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E22-4F64-943B-AFA58FF18FF3}"/>
            </c:ext>
          </c:extLst>
        </c:ser>
        <c:ser>
          <c:idx val="4"/>
          <c:order val="4"/>
          <c:tx>
            <c:strRef>
              <c:f>PBL!$AE$12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E22-4F64-943B-AFA58FF18FF3}"/>
            </c:ext>
          </c:extLst>
        </c:ser>
        <c:ser>
          <c:idx val="5"/>
          <c:order val="5"/>
          <c:tx>
            <c:strRef>
              <c:f>PBL!$AF$12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E22-4F64-943B-AFA58FF18FF3}"/>
            </c:ext>
          </c:extLst>
        </c:ser>
        <c:ser>
          <c:idx val="6"/>
          <c:order val="6"/>
          <c:tx>
            <c:strRef>
              <c:f>PBL!$AG$12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E22-4F64-943B-AFA58FF18FF3}"/>
            </c:ext>
          </c:extLst>
        </c:ser>
        <c:ser>
          <c:idx val="7"/>
          <c:order val="7"/>
          <c:tx>
            <c:strRef>
              <c:f>PBL!$AH$12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E22-4F64-943B-AFA58FF18FF3}"/>
            </c:ext>
          </c:extLst>
        </c:ser>
        <c:ser>
          <c:idx val="8"/>
          <c:order val="8"/>
          <c:tx>
            <c:strRef>
              <c:f>PBL!$AI$12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E22-4F64-943B-AFA58FF18FF3}"/>
            </c:ext>
          </c:extLst>
        </c:ser>
        <c:ser>
          <c:idx val="9"/>
          <c:order val="9"/>
          <c:tx>
            <c:strRef>
              <c:f>PBL!$AJ$12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E22-4F64-943B-AFA58FF18FF3}"/>
            </c:ext>
          </c:extLst>
        </c:ser>
        <c:ser>
          <c:idx val="10"/>
          <c:order val="10"/>
          <c:tx>
            <c:strRef>
              <c:f>PBL!$AK$12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E22-4F64-943B-AFA58FF18FF3}"/>
            </c:ext>
          </c:extLst>
        </c:ser>
        <c:ser>
          <c:idx val="11"/>
          <c:order val="11"/>
          <c:tx>
            <c:strRef>
              <c:f>PBL!$AL$12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E22-4F64-943B-AFA58FF18FF3}"/>
            </c:ext>
          </c:extLst>
        </c:ser>
        <c:ser>
          <c:idx val="12"/>
          <c:order val="12"/>
          <c:tx>
            <c:strRef>
              <c:f>PBL!$AM$12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E22-4F64-943B-AFA58FF18FF3}"/>
            </c:ext>
          </c:extLst>
        </c:ser>
        <c:ser>
          <c:idx val="13"/>
          <c:order val="13"/>
          <c:tx>
            <c:strRef>
              <c:f>PBL!$AN$12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E22-4F64-943B-AFA58FF18FF3}"/>
            </c:ext>
          </c:extLst>
        </c:ser>
        <c:ser>
          <c:idx val="14"/>
          <c:order val="14"/>
          <c:tx>
            <c:strRef>
              <c:f>PBL!$AO$12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PBL!$Z$13:$Z$23</c:f>
            </c:numRef>
          </c:xVal>
          <c:yVal>
            <c:numRef>
              <c:f>PBL!$AO$13:$AO$23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E22-4F64-943B-AFA58FF18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'WVL4'!$J$12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0AB-4CE9-8CA9-7F8587CCE637}"/>
            </c:ext>
          </c:extLst>
        </c:ser>
        <c:ser>
          <c:idx val="1"/>
          <c:order val="1"/>
          <c:tx>
            <c:strRef>
              <c:f>'WVL4'!$K$12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0AB-4CE9-8CA9-7F8587CCE637}"/>
            </c:ext>
          </c:extLst>
        </c:ser>
        <c:ser>
          <c:idx val="2"/>
          <c:order val="2"/>
          <c:tx>
            <c:strRef>
              <c:f>'WVL4'!$L$12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80AB-4CE9-8CA9-7F8587CCE637}"/>
            </c:ext>
          </c:extLst>
        </c:ser>
        <c:ser>
          <c:idx val="3"/>
          <c:order val="3"/>
          <c:tx>
            <c:strRef>
              <c:f>'WVL4'!$M$12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80AB-4CE9-8CA9-7F8587CCE637}"/>
            </c:ext>
          </c:extLst>
        </c:ser>
        <c:ser>
          <c:idx val="4"/>
          <c:order val="4"/>
          <c:tx>
            <c:strRef>
              <c:f>'WVL4'!$N$12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0AB-4CE9-8CA9-7F8587CCE637}"/>
            </c:ext>
          </c:extLst>
        </c:ser>
        <c:ser>
          <c:idx val="5"/>
          <c:order val="5"/>
          <c:tx>
            <c:strRef>
              <c:f>'WVL4'!$O$12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80AB-4CE9-8CA9-7F8587CCE637}"/>
            </c:ext>
          </c:extLst>
        </c:ser>
        <c:ser>
          <c:idx val="6"/>
          <c:order val="6"/>
          <c:tx>
            <c:strRef>
              <c:f>'WVL4'!$P$12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80AB-4CE9-8CA9-7F8587CCE637}"/>
            </c:ext>
          </c:extLst>
        </c:ser>
        <c:ser>
          <c:idx val="7"/>
          <c:order val="7"/>
          <c:tx>
            <c:strRef>
              <c:f>'WVL4'!$Q$12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80AB-4CE9-8CA9-7F8587CCE637}"/>
            </c:ext>
          </c:extLst>
        </c:ser>
        <c:ser>
          <c:idx val="8"/>
          <c:order val="8"/>
          <c:tx>
            <c:strRef>
              <c:f>'WVL4'!$R$12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80AB-4CE9-8CA9-7F8587CCE637}"/>
            </c:ext>
          </c:extLst>
        </c:ser>
        <c:ser>
          <c:idx val="9"/>
          <c:order val="9"/>
          <c:tx>
            <c:strRef>
              <c:f>'WVL4'!$S$12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80AB-4CE9-8CA9-7F8587CCE637}"/>
            </c:ext>
          </c:extLst>
        </c:ser>
        <c:ser>
          <c:idx val="10"/>
          <c:order val="10"/>
          <c:tx>
            <c:strRef>
              <c:f>'WVL4'!$T$12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80AB-4CE9-8CA9-7F8587CCE637}"/>
            </c:ext>
          </c:extLst>
        </c:ser>
        <c:ser>
          <c:idx val="11"/>
          <c:order val="11"/>
          <c:tx>
            <c:strRef>
              <c:f>'WVL4'!$U$12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80AB-4CE9-8CA9-7F8587CCE637}"/>
            </c:ext>
          </c:extLst>
        </c:ser>
        <c:ser>
          <c:idx val="12"/>
          <c:order val="12"/>
          <c:tx>
            <c:strRef>
              <c:f>'WVL4'!$V$12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80AB-4CE9-8CA9-7F8587CCE637}"/>
            </c:ext>
          </c:extLst>
        </c:ser>
        <c:ser>
          <c:idx val="13"/>
          <c:order val="13"/>
          <c:tx>
            <c:strRef>
              <c:f>'WVL4'!$W$12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80AB-4CE9-8CA9-7F8587CCE637}"/>
            </c:ext>
          </c:extLst>
        </c:ser>
        <c:ser>
          <c:idx val="14"/>
          <c:order val="14"/>
          <c:tx>
            <c:strRef>
              <c:f>'WVL4'!$X$12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'WVL4'!$I$13:$I$23</c:f>
            </c:numRef>
          </c:xVal>
          <c:yVal>
            <c:numRef>
              <c:f>'WVL4'!$X$13:$X$23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80AB-4CE9-8CA9-7F8587CC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'WVL4'!$AA$12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D99-4330-AF98-FCD5076B913A}"/>
            </c:ext>
          </c:extLst>
        </c:ser>
        <c:ser>
          <c:idx val="1"/>
          <c:order val="1"/>
          <c:tx>
            <c:strRef>
              <c:f>'WVL4'!$AB$12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5D99-4330-AF98-FCD5076B913A}"/>
            </c:ext>
          </c:extLst>
        </c:ser>
        <c:ser>
          <c:idx val="2"/>
          <c:order val="2"/>
          <c:tx>
            <c:strRef>
              <c:f>'WVL4'!$AC$12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5D99-4330-AF98-FCD5076B913A}"/>
            </c:ext>
          </c:extLst>
        </c:ser>
        <c:ser>
          <c:idx val="3"/>
          <c:order val="3"/>
          <c:tx>
            <c:strRef>
              <c:f>'WVL4'!$AD$12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D99-4330-AF98-FCD5076B913A}"/>
            </c:ext>
          </c:extLst>
        </c:ser>
        <c:ser>
          <c:idx val="4"/>
          <c:order val="4"/>
          <c:tx>
            <c:strRef>
              <c:f>'WVL4'!$AE$12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D99-4330-AF98-FCD5076B913A}"/>
            </c:ext>
          </c:extLst>
        </c:ser>
        <c:ser>
          <c:idx val="5"/>
          <c:order val="5"/>
          <c:tx>
            <c:strRef>
              <c:f>'WVL4'!$AF$12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5D99-4330-AF98-FCD5076B913A}"/>
            </c:ext>
          </c:extLst>
        </c:ser>
        <c:ser>
          <c:idx val="6"/>
          <c:order val="6"/>
          <c:tx>
            <c:strRef>
              <c:f>'WVL4'!$AG$12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5D99-4330-AF98-FCD5076B913A}"/>
            </c:ext>
          </c:extLst>
        </c:ser>
        <c:ser>
          <c:idx val="7"/>
          <c:order val="7"/>
          <c:tx>
            <c:strRef>
              <c:f>'WVL4'!$AH$12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5D99-4330-AF98-FCD5076B913A}"/>
            </c:ext>
          </c:extLst>
        </c:ser>
        <c:ser>
          <c:idx val="8"/>
          <c:order val="8"/>
          <c:tx>
            <c:strRef>
              <c:f>'WVL4'!$AI$12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5D99-4330-AF98-FCD5076B913A}"/>
            </c:ext>
          </c:extLst>
        </c:ser>
        <c:ser>
          <c:idx val="9"/>
          <c:order val="9"/>
          <c:tx>
            <c:strRef>
              <c:f>'WVL4'!$AJ$12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5D99-4330-AF98-FCD5076B913A}"/>
            </c:ext>
          </c:extLst>
        </c:ser>
        <c:ser>
          <c:idx val="10"/>
          <c:order val="10"/>
          <c:tx>
            <c:strRef>
              <c:f>'WVL4'!$AK$12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5D99-4330-AF98-FCD5076B913A}"/>
            </c:ext>
          </c:extLst>
        </c:ser>
        <c:ser>
          <c:idx val="11"/>
          <c:order val="11"/>
          <c:tx>
            <c:strRef>
              <c:f>'WVL4'!$AL$12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5D99-4330-AF98-FCD5076B913A}"/>
            </c:ext>
          </c:extLst>
        </c:ser>
        <c:ser>
          <c:idx val="12"/>
          <c:order val="12"/>
          <c:tx>
            <c:strRef>
              <c:f>'WVL4'!$AM$12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5D99-4330-AF98-FCD5076B913A}"/>
            </c:ext>
          </c:extLst>
        </c:ser>
        <c:ser>
          <c:idx val="13"/>
          <c:order val="13"/>
          <c:tx>
            <c:strRef>
              <c:f>'WVL4'!$AN$12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5D99-4330-AF98-FCD5076B913A}"/>
            </c:ext>
          </c:extLst>
        </c:ser>
        <c:ser>
          <c:idx val="14"/>
          <c:order val="14"/>
          <c:tx>
            <c:strRef>
              <c:f>'WVL4'!$AO$12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'WVL4'!$Z$13:$Z$23</c:f>
            </c:numRef>
          </c:xVal>
          <c:yVal>
            <c:numRef>
              <c:f>'WVL4'!$AO$13:$AO$23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5D99-4330-AF98-FCD5076B9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'WVL4'!$AR$12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AB6-413B-8788-5CDCA2F6FD6F}"/>
            </c:ext>
          </c:extLst>
        </c:ser>
        <c:ser>
          <c:idx val="1"/>
          <c:order val="1"/>
          <c:tx>
            <c:strRef>
              <c:f>'WVL4'!$AS$12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AB6-413B-8788-5CDCA2F6FD6F}"/>
            </c:ext>
          </c:extLst>
        </c:ser>
        <c:ser>
          <c:idx val="2"/>
          <c:order val="2"/>
          <c:tx>
            <c:strRef>
              <c:f>'WVL4'!$AT$12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AB6-413B-8788-5CDCA2F6FD6F}"/>
            </c:ext>
          </c:extLst>
        </c:ser>
        <c:ser>
          <c:idx val="3"/>
          <c:order val="3"/>
          <c:tx>
            <c:strRef>
              <c:f>'WVL4'!$AU$12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AB6-413B-8788-5CDCA2F6FD6F}"/>
            </c:ext>
          </c:extLst>
        </c:ser>
        <c:ser>
          <c:idx val="4"/>
          <c:order val="4"/>
          <c:tx>
            <c:strRef>
              <c:f>'WVL4'!$AV$12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AB6-413B-8788-5CDCA2F6FD6F}"/>
            </c:ext>
          </c:extLst>
        </c:ser>
        <c:ser>
          <c:idx val="5"/>
          <c:order val="5"/>
          <c:tx>
            <c:strRef>
              <c:f>'WVL4'!$AW$12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AB6-413B-8788-5CDCA2F6FD6F}"/>
            </c:ext>
          </c:extLst>
        </c:ser>
        <c:ser>
          <c:idx val="6"/>
          <c:order val="6"/>
          <c:tx>
            <c:strRef>
              <c:f>'WVL4'!$AX$12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AB6-413B-8788-5CDCA2F6FD6F}"/>
            </c:ext>
          </c:extLst>
        </c:ser>
        <c:ser>
          <c:idx val="7"/>
          <c:order val="7"/>
          <c:tx>
            <c:strRef>
              <c:f>'WVL4'!$AY$12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AB6-413B-8788-5CDCA2F6FD6F}"/>
            </c:ext>
          </c:extLst>
        </c:ser>
        <c:ser>
          <c:idx val="8"/>
          <c:order val="8"/>
          <c:tx>
            <c:strRef>
              <c:f>'WVL4'!$AZ$12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AB6-413B-8788-5CDCA2F6FD6F}"/>
            </c:ext>
          </c:extLst>
        </c:ser>
        <c:ser>
          <c:idx val="9"/>
          <c:order val="9"/>
          <c:tx>
            <c:strRef>
              <c:f>'WVL4'!$BA$12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AB6-413B-8788-5CDCA2F6FD6F}"/>
            </c:ext>
          </c:extLst>
        </c:ser>
        <c:ser>
          <c:idx val="10"/>
          <c:order val="10"/>
          <c:tx>
            <c:strRef>
              <c:f>'WVL4'!$BB$12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AB6-413B-8788-5CDCA2F6FD6F}"/>
            </c:ext>
          </c:extLst>
        </c:ser>
        <c:ser>
          <c:idx val="11"/>
          <c:order val="11"/>
          <c:tx>
            <c:strRef>
              <c:f>'WVL4'!$BC$12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AB6-413B-8788-5CDCA2F6FD6F}"/>
            </c:ext>
          </c:extLst>
        </c:ser>
        <c:ser>
          <c:idx val="12"/>
          <c:order val="12"/>
          <c:tx>
            <c:strRef>
              <c:f>'WVL4'!$BD$12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AB6-413B-8788-5CDCA2F6FD6F}"/>
            </c:ext>
          </c:extLst>
        </c:ser>
        <c:ser>
          <c:idx val="13"/>
          <c:order val="13"/>
          <c:tx>
            <c:strRef>
              <c:f>'WVL4'!$BE$12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AB6-413B-8788-5CDCA2F6FD6F}"/>
            </c:ext>
          </c:extLst>
        </c:ser>
        <c:ser>
          <c:idx val="14"/>
          <c:order val="14"/>
          <c:tx>
            <c:strRef>
              <c:f>'WVL4'!$BF$12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'WVL4'!$AQ$13:$AQ$23</c:f>
            </c:numRef>
          </c:xVal>
          <c:yVal>
            <c:numRef>
              <c:f>'WVL4'!$BF$13:$BF$23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AB6-413B-8788-5CDCA2F6F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NVL!$J$12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DCC-45F4-8AB2-F2AD67D66270}"/>
            </c:ext>
          </c:extLst>
        </c:ser>
        <c:ser>
          <c:idx val="1"/>
          <c:order val="1"/>
          <c:tx>
            <c:strRef>
              <c:f>NVL!$K$12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DCC-45F4-8AB2-F2AD67D66270}"/>
            </c:ext>
          </c:extLst>
        </c:ser>
        <c:ser>
          <c:idx val="2"/>
          <c:order val="2"/>
          <c:tx>
            <c:strRef>
              <c:f>NVL!$L$12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FDCC-45F4-8AB2-F2AD67D66270}"/>
            </c:ext>
          </c:extLst>
        </c:ser>
        <c:ser>
          <c:idx val="3"/>
          <c:order val="3"/>
          <c:tx>
            <c:strRef>
              <c:f>NVL!$M$12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FDCC-45F4-8AB2-F2AD67D66270}"/>
            </c:ext>
          </c:extLst>
        </c:ser>
        <c:ser>
          <c:idx val="4"/>
          <c:order val="4"/>
          <c:tx>
            <c:strRef>
              <c:f>NVL!$N$12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DCC-45F4-8AB2-F2AD67D66270}"/>
            </c:ext>
          </c:extLst>
        </c:ser>
        <c:ser>
          <c:idx val="5"/>
          <c:order val="5"/>
          <c:tx>
            <c:strRef>
              <c:f>NVL!$O$12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FDCC-45F4-8AB2-F2AD67D66270}"/>
            </c:ext>
          </c:extLst>
        </c:ser>
        <c:ser>
          <c:idx val="6"/>
          <c:order val="6"/>
          <c:tx>
            <c:strRef>
              <c:f>NVL!$P$12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FDCC-45F4-8AB2-F2AD67D66270}"/>
            </c:ext>
          </c:extLst>
        </c:ser>
        <c:ser>
          <c:idx val="7"/>
          <c:order val="7"/>
          <c:tx>
            <c:strRef>
              <c:f>NVL!$Q$12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FDCC-45F4-8AB2-F2AD67D66270}"/>
            </c:ext>
          </c:extLst>
        </c:ser>
        <c:ser>
          <c:idx val="8"/>
          <c:order val="8"/>
          <c:tx>
            <c:strRef>
              <c:f>NVL!$R$12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FDCC-45F4-8AB2-F2AD67D66270}"/>
            </c:ext>
          </c:extLst>
        </c:ser>
        <c:ser>
          <c:idx val="9"/>
          <c:order val="9"/>
          <c:tx>
            <c:strRef>
              <c:f>NVL!$S$12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FDCC-45F4-8AB2-F2AD67D66270}"/>
            </c:ext>
          </c:extLst>
        </c:ser>
        <c:ser>
          <c:idx val="10"/>
          <c:order val="10"/>
          <c:tx>
            <c:strRef>
              <c:f>NVL!$T$12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FDCC-45F4-8AB2-F2AD67D66270}"/>
            </c:ext>
          </c:extLst>
        </c:ser>
        <c:ser>
          <c:idx val="11"/>
          <c:order val="11"/>
          <c:tx>
            <c:strRef>
              <c:f>NVL!$U$12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FDCC-45F4-8AB2-F2AD67D66270}"/>
            </c:ext>
          </c:extLst>
        </c:ser>
        <c:ser>
          <c:idx val="12"/>
          <c:order val="12"/>
          <c:tx>
            <c:strRef>
              <c:f>NVL!$V$12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FDCC-45F4-8AB2-F2AD67D66270}"/>
            </c:ext>
          </c:extLst>
        </c:ser>
        <c:ser>
          <c:idx val="13"/>
          <c:order val="13"/>
          <c:tx>
            <c:strRef>
              <c:f>NVL!$W$12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FDCC-45F4-8AB2-F2AD67D66270}"/>
            </c:ext>
          </c:extLst>
        </c:ser>
        <c:ser>
          <c:idx val="14"/>
          <c:order val="14"/>
          <c:tx>
            <c:strRef>
              <c:f>NVL!$X$12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NVL!$I$13:$I$23</c:f>
            </c:numRef>
          </c:xVal>
          <c:yVal>
            <c:numRef>
              <c:f>NVL!$X$13:$X$23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FDCC-45F4-8AB2-F2AD67D66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NVL!$AA$12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C4D-4762-B0E2-809DA7002801}"/>
            </c:ext>
          </c:extLst>
        </c:ser>
        <c:ser>
          <c:idx val="1"/>
          <c:order val="1"/>
          <c:tx>
            <c:strRef>
              <c:f>NVL!$AB$12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C4D-4762-B0E2-809DA7002801}"/>
            </c:ext>
          </c:extLst>
        </c:ser>
        <c:ser>
          <c:idx val="2"/>
          <c:order val="2"/>
          <c:tx>
            <c:strRef>
              <c:f>NVL!$AC$12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CC4D-4762-B0E2-809DA7002801}"/>
            </c:ext>
          </c:extLst>
        </c:ser>
        <c:ser>
          <c:idx val="3"/>
          <c:order val="3"/>
          <c:tx>
            <c:strRef>
              <c:f>NVL!$AD$12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CC4D-4762-B0E2-809DA7002801}"/>
            </c:ext>
          </c:extLst>
        </c:ser>
        <c:ser>
          <c:idx val="4"/>
          <c:order val="4"/>
          <c:tx>
            <c:strRef>
              <c:f>NVL!$AE$12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C4D-4762-B0E2-809DA7002801}"/>
            </c:ext>
          </c:extLst>
        </c:ser>
        <c:ser>
          <c:idx val="5"/>
          <c:order val="5"/>
          <c:tx>
            <c:strRef>
              <c:f>NVL!$AF$12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C4D-4762-B0E2-809DA7002801}"/>
            </c:ext>
          </c:extLst>
        </c:ser>
        <c:ser>
          <c:idx val="6"/>
          <c:order val="6"/>
          <c:tx>
            <c:strRef>
              <c:f>NVL!$AG$12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CC4D-4762-B0E2-809DA7002801}"/>
            </c:ext>
          </c:extLst>
        </c:ser>
        <c:ser>
          <c:idx val="7"/>
          <c:order val="7"/>
          <c:tx>
            <c:strRef>
              <c:f>NVL!$AH$12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CC4D-4762-B0E2-809DA7002801}"/>
            </c:ext>
          </c:extLst>
        </c:ser>
        <c:ser>
          <c:idx val="8"/>
          <c:order val="8"/>
          <c:tx>
            <c:strRef>
              <c:f>NVL!$AI$12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CC4D-4762-B0E2-809DA7002801}"/>
            </c:ext>
          </c:extLst>
        </c:ser>
        <c:ser>
          <c:idx val="9"/>
          <c:order val="9"/>
          <c:tx>
            <c:strRef>
              <c:f>NVL!$AJ$12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CC4D-4762-B0E2-809DA7002801}"/>
            </c:ext>
          </c:extLst>
        </c:ser>
        <c:ser>
          <c:idx val="10"/>
          <c:order val="10"/>
          <c:tx>
            <c:strRef>
              <c:f>NVL!$AK$12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CC4D-4762-B0E2-809DA7002801}"/>
            </c:ext>
          </c:extLst>
        </c:ser>
        <c:ser>
          <c:idx val="11"/>
          <c:order val="11"/>
          <c:tx>
            <c:strRef>
              <c:f>NVL!$AL$12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C4D-4762-B0E2-809DA7002801}"/>
            </c:ext>
          </c:extLst>
        </c:ser>
        <c:ser>
          <c:idx val="12"/>
          <c:order val="12"/>
          <c:tx>
            <c:strRef>
              <c:f>NVL!$AM$12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CC4D-4762-B0E2-809DA7002801}"/>
            </c:ext>
          </c:extLst>
        </c:ser>
        <c:ser>
          <c:idx val="13"/>
          <c:order val="13"/>
          <c:tx>
            <c:strRef>
              <c:f>NVL!$AN$12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C4D-4762-B0E2-809DA7002801}"/>
            </c:ext>
          </c:extLst>
        </c:ser>
        <c:ser>
          <c:idx val="14"/>
          <c:order val="14"/>
          <c:tx>
            <c:strRef>
              <c:f>NVL!$AO$12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NVL!$Z$13:$Z$23</c:f>
            </c:numRef>
          </c:xVal>
          <c:yVal>
            <c:numRef>
              <c:f>NVL!$AO$13:$AO$23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C4D-4762-B0E2-809DA7002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NVL!$AR$12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5C5-47C6-8645-239C5FA2743A}"/>
            </c:ext>
          </c:extLst>
        </c:ser>
        <c:ser>
          <c:idx val="1"/>
          <c:order val="1"/>
          <c:tx>
            <c:strRef>
              <c:f>NVL!$AS$12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5C5-47C6-8645-239C5FA2743A}"/>
            </c:ext>
          </c:extLst>
        </c:ser>
        <c:ser>
          <c:idx val="2"/>
          <c:order val="2"/>
          <c:tx>
            <c:strRef>
              <c:f>NVL!$AT$12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5C5-47C6-8645-239C5FA2743A}"/>
            </c:ext>
          </c:extLst>
        </c:ser>
        <c:ser>
          <c:idx val="3"/>
          <c:order val="3"/>
          <c:tx>
            <c:strRef>
              <c:f>NVL!$AU$12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E5C5-47C6-8645-239C5FA2743A}"/>
            </c:ext>
          </c:extLst>
        </c:ser>
        <c:ser>
          <c:idx val="4"/>
          <c:order val="4"/>
          <c:tx>
            <c:strRef>
              <c:f>NVL!$AV$12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E5C5-47C6-8645-239C5FA2743A}"/>
            </c:ext>
          </c:extLst>
        </c:ser>
        <c:ser>
          <c:idx val="5"/>
          <c:order val="5"/>
          <c:tx>
            <c:strRef>
              <c:f>NVL!$AW$12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E5C5-47C6-8645-239C5FA2743A}"/>
            </c:ext>
          </c:extLst>
        </c:ser>
        <c:ser>
          <c:idx val="6"/>
          <c:order val="6"/>
          <c:tx>
            <c:strRef>
              <c:f>NVL!$AX$12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E5C5-47C6-8645-239C5FA2743A}"/>
            </c:ext>
          </c:extLst>
        </c:ser>
        <c:ser>
          <c:idx val="7"/>
          <c:order val="7"/>
          <c:tx>
            <c:strRef>
              <c:f>NVL!$AY$12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E5C5-47C6-8645-239C5FA2743A}"/>
            </c:ext>
          </c:extLst>
        </c:ser>
        <c:ser>
          <c:idx val="8"/>
          <c:order val="8"/>
          <c:tx>
            <c:strRef>
              <c:f>NVL!$AZ$12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E5C5-47C6-8645-239C5FA2743A}"/>
            </c:ext>
          </c:extLst>
        </c:ser>
        <c:ser>
          <c:idx val="9"/>
          <c:order val="9"/>
          <c:tx>
            <c:strRef>
              <c:f>NVL!$BA$12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E5C5-47C6-8645-239C5FA2743A}"/>
            </c:ext>
          </c:extLst>
        </c:ser>
        <c:ser>
          <c:idx val="10"/>
          <c:order val="10"/>
          <c:tx>
            <c:strRef>
              <c:f>NVL!$BB$12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E5C5-47C6-8645-239C5FA2743A}"/>
            </c:ext>
          </c:extLst>
        </c:ser>
        <c:ser>
          <c:idx val="11"/>
          <c:order val="11"/>
          <c:tx>
            <c:strRef>
              <c:f>NVL!$BC$12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E5C5-47C6-8645-239C5FA2743A}"/>
            </c:ext>
          </c:extLst>
        </c:ser>
        <c:ser>
          <c:idx val="12"/>
          <c:order val="12"/>
          <c:tx>
            <c:strRef>
              <c:f>NVL!$BD$12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E5C5-47C6-8645-239C5FA2743A}"/>
            </c:ext>
          </c:extLst>
        </c:ser>
        <c:ser>
          <c:idx val="13"/>
          <c:order val="13"/>
          <c:tx>
            <c:strRef>
              <c:f>NVL!$BE$12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E5C5-47C6-8645-239C5FA2743A}"/>
            </c:ext>
          </c:extLst>
        </c:ser>
        <c:ser>
          <c:idx val="14"/>
          <c:order val="14"/>
          <c:tx>
            <c:strRef>
              <c:f>NVL!$BF$12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NVL!$AQ$13:$AQ$23</c:f>
            </c:numRef>
          </c:xVal>
          <c:yVal>
            <c:numRef>
              <c:f>NVL!$BF$13:$BF$23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E5C5-47C6-8645-239C5FA27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0C5-4EAD-B08D-D54400E8C616}"/>
            </c:ext>
          </c:extLst>
        </c:ser>
        <c:ser>
          <c:idx val="1"/>
          <c:order val="1"/>
          <c:tx>
            <c:strRef>
              <c:f>FFL!$K$12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0C5-4EAD-B08D-D54400E8C616}"/>
            </c:ext>
          </c:extLst>
        </c:ser>
        <c:ser>
          <c:idx val="2"/>
          <c:order val="2"/>
          <c:tx>
            <c:strRef>
              <c:f>FFL!$L$12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10C5-4EAD-B08D-D54400E8C616}"/>
            </c:ext>
          </c:extLst>
        </c:ser>
        <c:ser>
          <c:idx val="3"/>
          <c:order val="3"/>
          <c:tx>
            <c:strRef>
              <c:f>FFL!$M$12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10C5-4EAD-B08D-D54400E8C616}"/>
            </c:ext>
          </c:extLst>
        </c:ser>
        <c:ser>
          <c:idx val="4"/>
          <c:order val="4"/>
          <c:tx>
            <c:strRef>
              <c:f>FFL!$N$12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10C5-4EAD-B08D-D54400E8C616}"/>
            </c:ext>
          </c:extLst>
        </c:ser>
        <c:ser>
          <c:idx val="5"/>
          <c:order val="5"/>
          <c:tx>
            <c:strRef>
              <c:f>FFL!$O$12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10C5-4EAD-B08D-D54400E8C616}"/>
            </c:ext>
          </c:extLst>
        </c:ser>
        <c:ser>
          <c:idx val="6"/>
          <c:order val="6"/>
          <c:tx>
            <c:strRef>
              <c:f>FFL!$P$12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10C5-4EAD-B08D-D54400E8C616}"/>
            </c:ext>
          </c:extLst>
        </c:ser>
        <c:ser>
          <c:idx val="7"/>
          <c:order val="7"/>
          <c:tx>
            <c:strRef>
              <c:f>FFL!$Q$12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10C5-4EAD-B08D-D54400E8C616}"/>
            </c:ext>
          </c:extLst>
        </c:ser>
        <c:ser>
          <c:idx val="8"/>
          <c:order val="8"/>
          <c:tx>
            <c:strRef>
              <c:f>FFL!$R$12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10C5-4EAD-B08D-D54400E8C616}"/>
            </c:ext>
          </c:extLst>
        </c:ser>
        <c:ser>
          <c:idx val="9"/>
          <c:order val="9"/>
          <c:tx>
            <c:strRef>
              <c:f>FFL!$S$12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10C5-4EAD-B08D-D54400E8C616}"/>
            </c:ext>
          </c:extLst>
        </c:ser>
        <c:ser>
          <c:idx val="10"/>
          <c:order val="10"/>
          <c:tx>
            <c:strRef>
              <c:f>FFL!$T$12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10C5-4EAD-B08D-D54400E8C616}"/>
            </c:ext>
          </c:extLst>
        </c:ser>
        <c:ser>
          <c:idx val="11"/>
          <c:order val="11"/>
          <c:tx>
            <c:strRef>
              <c:f>FFL!$U$12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10C5-4EAD-B08D-D54400E8C616}"/>
            </c:ext>
          </c:extLst>
        </c:ser>
        <c:ser>
          <c:idx val="12"/>
          <c:order val="12"/>
          <c:tx>
            <c:strRef>
              <c:f>FFL!$V$12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10C5-4EAD-B08D-D54400E8C616}"/>
            </c:ext>
          </c:extLst>
        </c:ser>
        <c:ser>
          <c:idx val="13"/>
          <c:order val="13"/>
          <c:tx>
            <c:strRef>
              <c:f>FFL!$W$12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10C5-4EAD-B08D-D54400E8C616}"/>
            </c:ext>
          </c:extLst>
        </c:ser>
        <c:ser>
          <c:idx val="14"/>
          <c:order val="14"/>
          <c:tx>
            <c:strRef>
              <c:f>FFL!$X$12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FFL!$I$13:$I$23</c:f>
            </c:numRef>
          </c:xVal>
          <c:yVal>
            <c:numRef>
              <c:f>FFL!$X$13:$X$23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0C5-4EAD-B08D-D54400E8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2119-4BA0-ACEE-5314C4A9F2A9}"/>
            </c:ext>
          </c:extLst>
        </c:ser>
        <c:ser>
          <c:idx val="1"/>
          <c:order val="1"/>
          <c:tx>
            <c:strRef>
              <c:f>FFL!$AB$12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2119-4BA0-ACEE-5314C4A9F2A9}"/>
            </c:ext>
          </c:extLst>
        </c:ser>
        <c:ser>
          <c:idx val="2"/>
          <c:order val="2"/>
          <c:tx>
            <c:strRef>
              <c:f>FFL!$AC$12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2119-4BA0-ACEE-5314C4A9F2A9}"/>
            </c:ext>
          </c:extLst>
        </c:ser>
        <c:ser>
          <c:idx val="3"/>
          <c:order val="3"/>
          <c:tx>
            <c:strRef>
              <c:f>FFL!$AD$12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2119-4BA0-ACEE-5314C4A9F2A9}"/>
            </c:ext>
          </c:extLst>
        </c:ser>
        <c:ser>
          <c:idx val="4"/>
          <c:order val="4"/>
          <c:tx>
            <c:strRef>
              <c:f>FFL!$AE$12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2119-4BA0-ACEE-5314C4A9F2A9}"/>
            </c:ext>
          </c:extLst>
        </c:ser>
        <c:ser>
          <c:idx val="5"/>
          <c:order val="5"/>
          <c:tx>
            <c:strRef>
              <c:f>FFL!$AF$12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2119-4BA0-ACEE-5314C4A9F2A9}"/>
            </c:ext>
          </c:extLst>
        </c:ser>
        <c:ser>
          <c:idx val="6"/>
          <c:order val="6"/>
          <c:tx>
            <c:strRef>
              <c:f>FFL!$AG$12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2119-4BA0-ACEE-5314C4A9F2A9}"/>
            </c:ext>
          </c:extLst>
        </c:ser>
        <c:ser>
          <c:idx val="7"/>
          <c:order val="7"/>
          <c:tx>
            <c:strRef>
              <c:f>FFL!$AH$12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2119-4BA0-ACEE-5314C4A9F2A9}"/>
            </c:ext>
          </c:extLst>
        </c:ser>
        <c:ser>
          <c:idx val="8"/>
          <c:order val="8"/>
          <c:tx>
            <c:strRef>
              <c:f>FFL!$AI$12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2119-4BA0-ACEE-5314C4A9F2A9}"/>
            </c:ext>
          </c:extLst>
        </c:ser>
        <c:ser>
          <c:idx val="9"/>
          <c:order val="9"/>
          <c:tx>
            <c:strRef>
              <c:f>FFL!$AJ$12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2119-4BA0-ACEE-5314C4A9F2A9}"/>
            </c:ext>
          </c:extLst>
        </c:ser>
        <c:ser>
          <c:idx val="10"/>
          <c:order val="10"/>
          <c:tx>
            <c:strRef>
              <c:f>FFL!$AK$12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2119-4BA0-ACEE-5314C4A9F2A9}"/>
            </c:ext>
          </c:extLst>
        </c:ser>
        <c:ser>
          <c:idx val="11"/>
          <c:order val="11"/>
          <c:tx>
            <c:strRef>
              <c:f>FFL!$AL$12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2119-4BA0-ACEE-5314C4A9F2A9}"/>
            </c:ext>
          </c:extLst>
        </c:ser>
        <c:ser>
          <c:idx val="12"/>
          <c:order val="12"/>
          <c:tx>
            <c:strRef>
              <c:f>FFL!$AM$12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2119-4BA0-ACEE-5314C4A9F2A9}"/>
            </c:ext>
          </c:extLst>
        </c:ser>
        <c:ser>
          <c:idx val="13"/>
          <c:order val="13"/>
          <c:tx>
            <c:strRef>
              <c:f>FFL!$AN$12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2119-4BA0-ACEE-5314C4A9F2A9}"/>
            </c:ext>
          </c:extLst>
        </c:ser>
        <c:ser>
          <c:idx val="14"/>
          <c:order val="14"/>
          <c:tx>
            <c:strRef>
              <c:f>FFL!$AO$12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FFL!$Z$13:$Z$23</c:f>
            </c:numRef>
          </c:xVal>
          <c:yVal>
            <c:numRef>
              <c:f>FFL!$AO$13:$AO$23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2119-4BA0-ACEE-5314C4A9F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D5D-4327-87E1-65461B08F30B}"/>
            </c:ext>
          </c:extLst>
        </c:ser>
        <c:ser>
          <c:idx val="1"/>
          <c:order val="1"/>
          <c:tx>
            <c:strRef>
              <c:f>FFL!$AS$12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D5D-4327-87E1-65461B08F30B}"/>
            </c:ext>
          </c:extLst>
        </c:ser>
        <c:ser>
          <c:idx val="2"/>
          <c:order val="2"/>
          <c:tx>
            <c:strRef>
              <c:f>FFL!$AT$12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FD5D-4327-87E1-65461B08F30B}"/>
            </c:ext>
          </c:extLst>
        </c:ser>
        <c:ser>
          <c:idx val="3"/>
          <c:order val="3"/>
          <c:tx>
            <c:strRef>
              <c:f>FFL!$AU$12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FD5D-4327-87E1-65461B08F30B}"/>
            </c:ext>
          </c:extLst>
        </c:ser>
        <c:ser>
          <c:idx val="4"/>
          <c:order val="4"/>
          <c:tx>
            <c:strRef>
              <c:f>FFL!$AV$12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FD5D-4327-87E1-65461B08F30B}"/>
            </c:ext>
          </c:extLst>
        </c:ser>
        <c:ser>
          <c:idx val="5"/>
          <c:order val="5"/>
          <c:tx>
            <c:strRef>
              <c:f>FFL!$AW$12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FD5D-4327-87E1-65461B08F30B}"/>
            </c:ext>
          </c:extLst>
        </c:ser>
        <c:ser>
          <c:idx val="6"/>
          <c:order val="6"/>
          <c:tx>
            <c:strRef>
              <c:f>FFL!$AX$12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FD5D-4327-87E1-65461B08F30B}"/>
            </c:ext>
          </c:extLst>
        </c:ser>
        <c:ser>
          <c:idx val="7"/>
          <c:order val="7"/>
          <c:tx>
            <c:strRef>
              <c:f>FFL!$AY$12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FD5D-4327-87E1-65461B08F30B}"/>
            </c:ext>
          </c:extLst>
        </c:ser>
        <c:ser>
          <c:idx val="8"/>
          <c:order val="8"/>
          <c:tx>
            <c:strRef>
              <c:f>FFL!$AZ$12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FD5D-4327-87E1-65461B08F30B}"/>
            </c:ext>
          </c:extLst>
        </c:ser>
        <c:ser>
          <c:idx val="9"/>
          <c:order val="9"/>
          <c:tx>
            <c:strRef>
              <c:f>FFL!$BA$12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FD5D-4327-87E1-65461B08F30B}"/>
            </c:ext>
          </c:extLst>
        </c:ser>
        <c:ser>
          <c:idx val="10"/>
          <c:order val="10"/>
          <c:tx>
            <c:strRef>
              <c:f>FFL!$BB$12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FD5D-4327-87E1-65461B08F30B}"/>
            </c:ext>
          </c:extLst>
        </c:ser>
        <c:ser>
          <c:idx val="11"/>
          <c:order val="11"/>
          <c:tx>
            <c:strRef>
              <c:f>FFL!$BC$12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FD5D-4327-87E1-65461B08F30B}"/>
            </c:ext>
          </c:extLst>
        </c:ser>
        <c:ser>
          <c:idx val="12"/>
          <c:order val="12"/>
          <c:tx>
            <c:strRef>
              <c:f>FFL!$BD$12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FD5D-4327-87E1-65461B08F30B}"/>
            </c:ext>
          </c:extLst>
        </c:ser>
        <c:ser>
          <c:idx val="13"/>
          <c:order val="13"/>
          <c:tx>
            <c:strRef>
              <c:f>FFL!$BE$12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FD5D-4327-87E1-65461B08F30B}"/>
            </c:ext>
          </c:extLst>
        </c:ser>
        <c:ser>
          <c:idx val="14"/>
          <c:order val="14"/>
          <c:tx>
            <c:strRef>
              <c:f>FFL!$BF$12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FFL!$AQ$13:$AQ$23</c:f>
            </c:numRef>
          </c:xVal>
          <c:yVal>
            <c:numRef>
              <c:f>FFL!$BF$13:$BF$23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D5D-4327-87E1-65461B08F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FFL2R!$J$12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D98-4B1A-A9BE-4FBBCF9E556A}"/>
            </c:ext>
          </c:extLst>
        </c:ser>
        <c:ser>
          <c:idx val="1"/>
          <c:order val="1"/>
          <c:tx>
            <c:strRef>
              <c:f>FFL2R!$K$12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D98-4B1A-A9BE-4FBBCF9E556A}"/>
            </c:ext>
          </c:extLst>
        </c:ser>
        <c:ser>
          <c:idx val="2"/>
          <c:order val="2"/>
          <c:tx>
            <c:strRef>
              <c:f>FFL2R!$L$12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D98-4B1A-A9BE-4FBBCF9E556A}"/>
            </c:ext>
          </c:extLst>
        </c:ser>
        <c:ser>
          <c:idx val="3"/>
          <c:order val="3"/>
          <c:tx>
            <c:strRef>
              <c:f>FFL2R!$M$12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CD98-4B1A-A9BE-4FBBCF9E556A}"/>
            </c:ext>
          </c:extLst>
        </c:ser>
        <c:ser>
          <c:idx val="4"/>
          <c:order val="4"/>
          <c:tx>
            <c:strRef>
              <c:f>FFL2R!$N$12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CD98-4B1A-A9BE-4FBBCF9E556A}"/>
            </c:ext>
          </c:extLst>
        </c:ser>
        <c:ser>
          <c:idx val="5"/>
          <c:order val="5"/>
          <c:tx>
            <c:strRef>
              <c:f>FFL2R!$O$12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D98-4B1A-A9BE-4FBBCF9E556A}"/>
            </c:ext>
          </c:extLst>
        </c:ser>
        <c:ser>
          <c:idx val="6"/>
          <c:order val="6"/>
          <c:tx>
            <c:strRef>
              <c:f>FFL2R!$P$12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CD98-4B1A-A9BE-4FBBCF9E556A}"/>
            </c:ext>
          </c:extLst>
        </c:ser>
        <c:ser>
          <c:idx val="7"/>
          <c:order val="7"/>
          <c:tx>
            <c:strRef>
              <c:f>FFL2R!$Q$12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CD98-4B1A-A9BE-4FBBCF9E556A}"/>
            </c:ext>
          </c:extLst>
        </c:ser>
        <c:ser>
          <c:idx val="8"/>
          <c:order val="8"/>
          <c:tx>
            <c:strRef>
              <c:f>FFL2R!$R$12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CD98-4B1A-A9BE-4FBBCF9E556A}"/>
            </c:ext>
          </c:extLst>
        </c:ser>
        <c:ser>
          <c:idx val="9"/>
          <c:order val="9"/>
          <c:tx>
            <c:strRef>
              <c:f>FFL2R!$S$12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CD98-4B1A-A9BE-4FBBCF9E556A}"/>
            </c:ext>
          </c:extLst>
        </c:ser>
        <c:ser>
          <c:idx val="10"/>
          <c:order val="10"/>
          <c:tx>
            <c:strRef>
              <c:f>FFL2R!$T$12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CD98-4B1A-A9BE-4FBBCF9E556A}"/>
            </c:ext>
          </c:extLst>
        </c:ser>
        <c:ser>
          <c:idx val="11"/>
          <c:order val="11"/>
          <c:tx>
            <c:strRef>
              <c:f>FFL2R!$U$12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D98-4B1A-A9BE-4FBBCF9E556A}"/>
            </c:ext>
          </c:extLst>
        </c:ser>
        <c:ser>
          <c:idx val="12"/>
          <c:order val="12"/>
          <c:tx>
            <c:strRef>
              <c:f>FFL2R!$V$12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CD98-4B1A-A9BE-4FBBCF9E556A}"/>
            </c:ext>
          </c:extLst>
        </c:ser>
        <c:ser>
          <c:idx val="13"/>
          <c:order val="13"/>
          <c:tx>
            <c:strRef>
              <c:f>FFL2R!$W$12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D98-4B1A-A9BE-4FBBCF9E556A}"/>
            </c:ext>
          </c:extLst>
        </c:ser>
        <c:ser>
          <c:idx val="14"/>
          <c:order val="14"/>
          <c:tx>
            <c:strRef>
              <c:f>FFL2R!$X$12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FFL2R!$I$13:$I$23</c:f>
            </c:numRef>
          </c:xVal>
          <c:yVal>
            <c:numRef>
              <c:f>FFL2R!$X$13:$X$23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D98-4B1A-A9BE-4FBBCF9E5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659-442A-BBC7-A90069329688}"/>
            </c:ext>
          </c:extLst>
        </c:ser>
        <c:ser>
          <c:idx val="1"/>
          <c:order val="1"/>
          <c:tx>
            <c:strRef>
              <c:f>PBL!$AS$12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659-442A-BBC7-A90069329688}"/>
            </c:ext>
          </c:extLst>
        </c:ser>
        <c:ser>
          <c:idx val="2"/>
          <c:order val="2"/>
          <c:tx>
            <c:strRef>
              <c:f>PBL!$AT$12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659-442A-BBC7-A90069329688}"/>
            </c:ext>
          </c:extLst>
        </c:ser>
        <c:ser>
          <c:idx val="3"/>
          <c:order val="3"/>
          <c:tx>
            <c:strRef>
              <c:f>PBL!$AU$12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3659-442A-BBC7-A90069329688}"/>
            </c:ext>
          </c:extLst>
        </c:ser>
        <c:ser>
          <c:idx val="4"/>
          <c:order val="4"/>
          <c:tx>
            <c:strRef>
              <c:f>PBL!$AV$12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3659-442A-BBC7-A90069329688}"/>
            </c:ext>
          </c:extLst>
        </c:ser>
        <c:ser>
          <c:idx val="5"/>
          <c:order val="5"/>
          <c:tx>
            <c:strRef>
              <c:f>PBL!$AW$12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3659-442A-BBC7-A90069329688}"/>
            </c:ext>
          </c:extLst>
        </c:ser>
        <c:ser>
          <c:idx val="6"/>
          <c:order val="6"/>
          <c:tx>
            <c:strRef>
              <c:f>PBL!$AX$12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3659-442A-BBC7-A90069329688}"/>
            </c:ext>
          </c:extLst>
        </c:ser>
        <c:ser>
          <c:idx val="7"/>
          <c:order val="7"/>
          <c:tx>
            <c:strRef>
              <c:f>PBL!$AY$12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659-442A-BBC7-A90069329688}"/>
            </c:ext>
          </c:extLst>
        </c:ser>
        <c:ser>
          <c:idx val="8"/>
          <c:order val="8"/>
          <c:tx>
            <c:strRef>
              <c:f>PBL!$AZ$12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3659-442A-BBC7-A90069329688}"/>
            </c:ext>
          </c:extLst>
        </c:ser>
        <c:ser>
          <c:idx val="9"/>
          <c:order val="9"/>
          <c:tx>
            <c:strRef>
              <c:f>PBL!$BA$12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659-442A-BBC7-A90069329688}"/>
            </c:ext>
          </c:extLst>
        </c:ser>
        <c:ser>
          <c:idx val="10"/>
          <c:order val="10"/>
          <c:tx>
            <c:strRef>
              <c:f>PBL!$BB$12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3659-442A-BBC7-A90069329688}"/>
            </c:ext>
          </c:extLst>
        </c:ser>
        <c:ser>
          <c:idx val="11"/>
          <c:order val="11"/>
          <c:tx>
            <c:strRef>
              <c:f>PBL!$BC$12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3659-442A-BBC7-A90069329688}"/>
            </c:ext>
          </c:extLst>
        </c:ser>
        <c:ser>
          <c:idx val="12"/>
          <c:order val="12"/>
          <c:tx>
            <c:strRef>
              <c:f>PBL!$BD$12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3659-442A-BBC7-A90069329688}"/>
            </c:ext>
          </c:extLst>
        </c:ser>
        <c:ser>
          <c:idx val="13"/>
          <c:order val="13"/>
          <c:tx>
            <c:strRef>
              <c:f>PBL!$BE$12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659-442A-BBC7-A90069329688}"/>
            </c:ext>
          </c:extLst>
        </c:ser>
        <c:ser>
          <c:idx val="14"/>
          <c:order val="14"/>
          <c:tx>
            <c:strRef>
              <c:f>PBL!$BF$12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PBL!$AQ$13:$AQ$23</c:f>
            </c:numRef>
          </c:xVal>
          <c:yVal>
            <c:numRef>
              <c:f>PBL!$BF$13:$BF$23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3659-442A-BBC7-A9006932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FFL2R!$AA$12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57C-42D9-BA4C-3A18FC1AE6F7}"/>
            </c:ext>
          </c:extLst>
        </c:ser>
        <c:ser>
          <c:idx val="1"/>
          <c:order val="1"/>
          <c:tx>
            <c:strRef>
              <c:f>FFL2R!$AB$12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57C-42D9-BA4C-3A18FC1AE6F7}"/>
            </c:ext>
          </c:extLst>
        </c:ser>
        <c:ser>
          <c:idx val="2"/>
          <c:order val="2"/>
          <c:tx>
            <c:strRef>
              <c:f>FFL2R!$AC$12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57C-42D9-BA4C-3A18FC1AE6F7}"/>
            </c:ext>
          </c:extLst>
        </c:ser>
        <c:ser>
          <c:idx val="3"/>
          <c:order val="3"/>
          <c:tx>
            <c:strRef>
              <c:f>FFL2R!$AD$12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357C-42D9-BA4C-3A18FC1AE6F7}"/>
            </c:ext>
          </c:extLst>
        </c:ser>
        <c:ser>
          <c:idx val="4"/>
          <c:order val="4"/>
          <c:tx>
            <c:strRef>
              <c:f>FFL2R!$AE$12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357C-42D9-BA4C-3A18FC1AE6F7}"/>
            </c:ext>
          </c:extLst>
        </c:ser>
        <c:ser>
          <c:idx val="5"/>
          <c:order val="5"/>
          <c:tx>
            <c:strRef>
              <c:f>FFL2R!$AF$12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357C-42D9-BA4C-3A18FC1AE6F7}"/>
            </c:ext>
          </c:extLst>
        </c:ser>
        <c:ser>
          <c:idx val="6"/>
          <c:order val="6"/>
          <c:tx>
            <c:strRef>
              <c:f>FFL2R!$AG$12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357C-42D9-BA4C-3A18FC1AE6F7}"/>
            </c:ext>
          </c:extLst>
        </c:ser>
        <c:ser>
          <c:idx val="7"/>
          <c:order val="7"/>
          <c:tx>
            <c:strRef>
              <c:f>FFL2R!$AH$12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57C-42D9-BA4C-3A18FC1AE6F7}"/>
            </c:ext>
          </c:extLst>
        </c:ser>
        <c:ser>
          <c:idx val="8"/>
          <c:order val="8"/>
          <c:tx>
            <c:strRef>
              <c:f>FFL2R!$AI$12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357C-42D9-BA4C-3A18FC1AE6F7}"/>
            </c:ext>
          </c:extLst>
        </c:ser>
        <c:ser>
          <c:idx val="9"/>
          <c:order val="9"/>
          <c:tx>
            <c:strRef>
              <c:f>FFL2R!$AJ$12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57C-42D9-BA4C-3A18FC1AE6F7}"/>
            </c:ext>
          </c:extLst>
        </c:ser>
        <c:ser>
          <c:idx val="10"/>
          <c:order val="10"/>
          <c:tx>
            <c:strRef>
              <c:f>FFL2R!$AK$12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357C-42D9-BA4C-3A18FC1AE6F7}"/>
            </c:ext>
          </c:extLst>
        </c:ser>
        <c:ser>
          <c:idx val="11"/>
          <c:order val="11"/>
          <c:tx>
            <c:strRef>
              <c:f>FFL2R!$AL$12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357C-42D9-BA4C-3A18FC1AE6F7}"/>
            </c:ext>
          </c:extLst>
        </c:ser>
        <c:ser>
          <c:idx val="12"/>
          <c:order val="12"/>
          <c:tx>
            <c:strRef>
              <c:f>FFL2R!$AM$12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357C-42D9-BA4C-3A18FC1AE6F7}"/>
            </c:ext>
          </c:extLst>
        </c:ser>
        <c:ser>
          <c:idx val="13"/>
          <c:order val="13"/>
          <c:tx>
            <c:strRef>
              <c:f>FFL2R!$AN$12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57C-42D9-BA4C-3A18FC1AE6F7}"/>
            </c:ext>
          </c:extLst>
        </c:ser>
        <c:ser>
          <c:idx val="14"/>
          <c:order val="14"/>
          <c:tx>
            <c:strRef>
              <c:f>FFL2R!$AO$12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FFL2R!$Z$13:$Z$23</c:f>
            </c:numRef>
          </c:xVal>
          <c:yVal>
            <c:numRef>
              <c:f>FFL2R!$AO$13:$AO$23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357C-42D9-BA4C-3A18FC1AE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FFL2R!$AR$12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1B3-4644-8F87-2413BECE9015}"/>
            </c:ext>
          </c:extLst>
        </c:ser>
        <c:ser>
          <c:idx val="1"/>
          <c:order val="1"/>
          <c:tx>
            <c:strRef>
              <c:f>FFL2R!$AS$12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1B3-4644-8F87-2413BECE9015}"/>
            </c:ext>
          </c:extLst>
        </c:ser>
        <c:ser>
          <c:idx val="2"/>
          <c:order val="2"/>
          <c:tx>
            <c:strRef>
              <c:f>FFL2R!$AT$12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1B3-4644-8F87-2413BECE9015}"/>
            </c:ext>
          </c:extLst>
        </c:ser>
        <c:ser>
          <c:idx val="3"/>
          <c:order val="3"/>
          <c:tx>
            <c:strRef>
              <c:f>FFL2R!$AU$12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F1B3-4644-8F87-2413BECE9015}"/>
            </c:ext>
          </c:extLst>
        </c:ser>
        <c:ser>
          <c:idx val="4"/>
          <c:order val="4"/>
          <c:tx>
            <c:strRef>
              <c:f>FFL2R!$AV$12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F1B3-4644-8F87-2413BECE9015}"/>
            </c:ext>
          </c:extLst>
        </c:ser>
        <c:ser>
          <c:idx val="5"/>
          <c:order val="5"/>
          <c:tx>
            <c:strRef>
              <c:f>FFL2R!$AW$12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F1B3-4644-8F87-2413BECE9015}"/>
            </c:ext>
          </c:extLst>
        </c:ser>
        <c:ser>
          <c:idx val="6"/>
          <c:order val="6"/>
          <c:tx>
            <c:strRef>
              <c:f>FFL2R!$AX$12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F1B3-4644-8F87-2413BECE9015}"/>
            </c:ext>
          </c:extLst>
        </c:ser>
        <c:ser>
          <c:idx val="7"/>
          <c:order val="7"/>
          <c:tx>
            <c:strRef>
              <c:f>FFL2R!$AY$12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F1B3-4644-8F87-2413BECE9015}"/>
            </c:ext>
          </c:extLst>
        </c:ser>
        <c:ser>
          <c:idx val="8"/>
          <c:order val="8"/>
          <c:tx>
            <c:strRef>
              <c:f>FFL2R!$AZ$12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F1B3-4644-8F87-2413BECE9015}"/>
            </c:ext>
          </c:extLst>
        </c:ser>
        <c:ser>
          <c:idx val="9"/>
          <c:order val="9"/>
          <c:tx>
            <c:strRef>
              <c:f>FFL2R!$BA$12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F1B3-4644-8F87-2413BECE9015}"/>
            </c:ext>
          </c:extLst>
        </c:ser>
        <c:ser>
          <c:idx val="10"/>
          <c:order val="10"/>
          <c:tx>
            <c:strRef>
              <c:f>FFL2R!$BB$12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F1B3-4644-8F87-2413BECE9015}"/>
            </c:ext>
          </c:extLst>
        </c:ser>
        <c:ser>
          <c:idx val="11"/>
          <c:order val="11"/>
          <c:tx>
            <c:strRef>
              <c:f>FFL2R!$BC$12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F1B3-4644-8F87-2413BECE9015}"/>
            </c:ext>
          </c:extLst>
        </c:ser>
        <c:ser>
          <c:idx val="12"/>
          <c:order val="12"/>
          <c:tx>
            <c:strRef>
              <c:f>FFL2R!$BD$12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F1B3-4644-8F87-2413BECE9015}"/>
            </c:ext>
          </c:extLst>
        </c:ser>
        <c:ser>
          <c:idx val="13"/>
          <c:order val="13"/>
          <c:tx>
            <c:strRef>
              <c:f>FFL2R!$BE$12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F1B3-4644-8F87-2413BECE9015}"/>
            </c:ext>
          </c:extLst>
        </c:ser>
        <c:ser>
          <c:idx val="14"/>
          <c:order val="14"/>
          <c:tx>
            <c:strRef>
              <c:f>FFL2R!$BF$12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FFL2R!$AQ$13:$AQ$23</c:f>
            </c:numRef>
          </c:xVal>
          <c:yVal>
            <c:numRef>
              <c:f>FFL2R!$BF$13:$BF$23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F1B3-4644-8F87-2413BECE9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FFL2RHO!$J$12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EFB-41C2-A482-D0F4C713DECA}"/>
            </c:ext>
          </c:extLst>
        </c:ser>
        <c:ser>
          <c:idx val="1"/>
          <c:order val="1"/>
          <c:tx>
            <c:strRef>
              <c:f>FFL2RHO!$K$12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EFB-41C2-A482-D0F4C713DECA}"/>
            </c:ext>
          </c:extLst>
        </c:ser>
        <c:ser>
          <c:idx val="2"/>
          <c:order val="2"/>
          <c:tx>
            <c:strRef>
              <c:f>FFL2RHO!$L$12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EFB-41C2-A482-D0F4C713DECA}"/>
            </c:ext>
          </c:extLst>
        </c:ser>
        <c:ser>
          <c:idx val="3"/>
          <c:order val="3"/>
          <c:tx>
            <c:strRef>
              <c:f>FFL2RHO!$M$12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EFB-41C2-A482-D0F4C713DECA}"/>
            </c:ext>
          </c:extLst>
        </c:ser>
        <c:ser>
          <c:idx val="4"/>
          <c:order val="4"/>
          <c:tx>
            <c:strRef>
              <c:f>FFL2RHO!$N$12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EFB-41C2-A482-D0F4C713DECA}"/>
            </c:ext>
          </c:extLst>
        </c:ser>
        <c:ser>
          <c:idx val="5"/>
          <c:order val="5"/>
          <c:tx>
            <c:strRef>
              <c:f>FFL2RHO!$O$12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EFB-41C2-A482-D0F4C713DECA}"/>
            </c:ext>
          </c:extLst>
        </c:ser>
        <c:ser>
          <c:idx val="6"/>
          <c:order val="6"/>
          <c:tx>
            <c:strRef>
              <c:f>FFL2RHO!$P$12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EFB-41C2-A482-D0F4C713DECA}"/>
            </c:ext>
          </c:extLst>
        </c:ser>
        <c:ser>
          <c:idx val="7"/>
          <c:order val="7"/>
          <c:tx>
            <c:strRef>
              <c:f>FFL2RHO!$Q$12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EFB-41C2-A482-D0F4C713DECA}"/>
            </c:ext>
          </c:extLst>
        </c:ser>
        <c:ser>
          <c:idx val="8"/>
          <c:order val="8"/>
          <c:tx>
            <c:strRef>
              <c:f>FFL2RHO!$R$12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EFB-41C2-A482-D0F4C713DECA}"/>
            </c:ext>
          </c:extLst>
        </c:ser>
        <c:ser>
          <c:idx val="9"/>
          <c:order val="9"/>
          <c:tx>
            <c:strRef>
              <c:f>FFL2RHO!$S$12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EFB-41C2-A482-D0F4C713DECA}"/>
            </c:ext>
          </c:extLst>
        </c:ser>
        <c:ser>
          <c:idx val="10"/>
          <c:order val="10"/>
          <c:tx>
            <c:strRef>
              <c:f>FFL2RHO!$T$12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EFB-41C2-A482-D0F4C713DECA}"/>
            </c:ext>
          </c:extLst>
        </c:ser>
        <c:ser>
          <c:idx val="11"/>
          <c:order val="11"/>
          <c:tx>
            <c:strRef>
              <c:f>FFL2RHO!$U$12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EFB-41C2-A482-D0F4C713DECA}"/>
            </c:ext>
          </c:extLst>
        </c:ser>
        <c:ser>
          <c:idx val="12"/>
          <c:order val="12"/>
          <c:tx>
            <c:strRef>
              <c:f>FFL2RHO!$V$12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EFB-41C2-A482-D0F4C713DECA}"/>
            </c:ext>
          </c:extLst>
        </c:ser>
        <c:ser>
          <c:idx val="13"/>
          <c:order val="13"/>
          <c:tx>
            <c:strRef>
              <c:f>FFL2RHO!$W$12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EFB-41C2-A482-D0F4C713DECA}"/>
            </c:ext>
          </c:extLst>
        </c:ser>
        <c:ser>
          <c:idx val="14"/>
          <c:order val="14"/>
          <c:tx>
            <c:strRef>
              <c:f>FFL2RHO!$X$12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FFL2RHO!$I$13:$I$23</c:f>
            </c:numRef>
          </c:xVal>
          <c:yVal>
            <c:numRef>
              <c:f>FFL2RHO!$X$13:$X$23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EFB-41C2-A482-D0F4C713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FFL2RHO!$AA$12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DF3-40F7-9B00-B32149CF9609}"/>
            </c:ext>
          </c:extLst>
        </c:ser>
        <c:ser>
          <c:idx val="1"/>
          <c:order val="1"/>
          <c:tx>
            <c:strRef>
              <c:f>FFL2RHO!$AB$12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DF3-40F7-9B00-B32149CF9609}"/>
            </c:ext>
          </c:extLst>
        </c:ser>
        <c:ser>
          <c:idx val="2"/>
          <c:order val="2"/>
          <c:tx>
            <c:strRef>
              <c:f>FFL2RHO!$AC$12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DF3-40F7-9B00-B32149CF9609}"/>
            </c:ext>
          </c:extLst>
        </c:ser>
        <c:ser>
          <c:idx val="3"/>
          <c:order val="3"/>
          <c:tx>
            <c:strRef>
              <c:f>FFL2RHO!$AD$12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DF3-40F7-9B00-B32149CF9609}"/>
            </c:ext>
          </c:extLst>
        </c:ser>
        <c:ser>
          <c:idx val="4"/>
          <c:order val="4"/>
          <c:tx>
            <c:strRef>
              <c:f>FFL2RHO!$AE$12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DF3-40F7-9B00-B32149CF9609}"/>
            </c:ext>
          </c:extLst>
        </c:ser>
        <c:ser>
          <c:idx val="5"/>
          <c:order val="5"/>
          <c:tx>
            <c:strRef>
              <c:f>FFL2RHO!$AF$12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ADF3-40F7-9B00-B32149CF9609}"/>
            </c:ext>
          </c:extLst>
        </c:ser>
        <c:ser>
          <c:idx val="6"/>
          <c:order val="6"/>
          <c:tx>
            <c:strRef>
              <c:f>FFL2RHO!$AG$12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ADF3-40F7-9B00-B32149CF9609}"/>
            </c:ext>
          </c:extLst>
        </c:ser>
        <c:ser>
          <c:idx val="7"/>
          <c:order val="7"/>
          <c:tx>
            <c:strRef>
              <c:f>FFL2RHO!$AH$12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ADF3-40F7-9B00-B32149CF9609}"/>
            </c:ext>
          </c:extLst>
        </c:ser>
        <c:ser>
          <c:idx val="8"/>
          <c:order val="8"/>
          <c:tx>
            <c:strRef>
              <c:f>FFL2RHO!$AI$12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ADF3-40F7-9B00-B32149CF9609}"/>
            </c:ext>
          </c:extLst>
        </c:ser>
        <c:ser>
          <c:idx val="9"/>
          <c:order val="9"/>
          <c:tx>
            <c:strRef>
              <c:f>FFL2RHO!$AJ$12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ADF3-40F7-9B00-B32149CF9609}"/>
            </c:ext>
          </c:extLst>
        </c:ser>
        <c:ser>
          <c:idx val="10"/>
          <c:order val="10"/>
          <c:tx>
            <c:strRef>
              <c:f>FFL2RHO!$AK$12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ADF3-40F7-9B00-B32149CF9609}"/>
            </c:ext>
          </c:extLst>
        </c:ser>
        <c:ser>
          <c:idx val="11"/>
          <c:order val="11"/>
          <c:tx>
            <c:strRef>
              <c:f>FFL2RHO!$AL$12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ADF3-40F7-9B00-B32149CF9609}"/>
            </c:ext>
          </c:extLst>
        </c:ser>
        <c:ser>
          <c:idx val="12"/>
          <c:order val="12"/>
          <c:tx>
            <c:strRef>
              <c:f>FFL2RHO!$AM$12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ADF3-40F7-9B00-B32149CF9609}"/>
            </c:ext>
          </c:extLst>
        </c:ser>
        <c:ser>
          <c:idx val="13"/>
          <c:order val="13"/>
          <c:tx>
            <c:strRef>
              <c:f>FFL2RHO!$AN$12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ADF3-40F7-9B00-B32149CF9609}"/>
            </c:ext>
          </c:extLst>
        </c:ser>
        <c:ser>
          <c:idx val="14"/>
          <c:order val="14"/>
          <c:tx>
            <c:strRef>
              <c:f>FFL2RHO!$AO$12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FFL2RHO!$Z$13:$Z$23</c:f>
            </c:numRef>
          </c:xVal>
          <c:yVal>
            <c:numRef>
              <c:f>FFL2RHO!$AO$13:$AO$23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ADF3-40F7-9B00-B32149CF9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FFL2RHO!$AR$12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E36-40A7-B157-E50A56E35998}"/>
            </c:ext>
          </c:extLst>
        </c:ser>
        <c:ser>
          <c:idx val="1"/>
          <c:order val="1"/>
          <c:tx>
            <c:strRef>
              <c:f>FFL2RHO!$AS$12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E36-40A7-B157-E50A56E35998}"/>
            </c:ext>
          </c:extLst>
        </c:ser>
        <c:ser>
          <c:idx val="2"/>
          <c:order val="2"/>
          <c:tx>
            <c:strRef>
              <c:f>FFL2RHO!$AT$12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E36-40A7-B157-E50A56E35998}"/>
            </c:ext>
          </c:extLst>
        </c:ser>
        <c:ser>
          <c:idx val="3"/>
          <c:order val="3"/>
          <c:tx>
            <c:strRef>
              <c:f>FFL2RHO!$AU$12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9E36-40A7-B157-E50A56E35998}"/>
            </c:ext>
          </c:extLst>
        </c:ser>
        <c:ser>
          <c:idx val="4"/>
          <c:order val="4"/>
          <c:tx>
            <c:strRef>
              <c:f>FFL2RHO!$AV$12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9E36-40A7-B157-E50A56E35998}"/>
            </c:ext>
          </c:extLst>
        </c:ser>
        <c:ser>
          <c:idx val="5"/>
          <c:order val="5"/>
          <c:tx>
            <c:strRef>
              <c:f>FFL2RHO!$AW$12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9E36-40A7-B157-E50A56E35998}"/>
            </c:ext>
          </c:extLst>
        </c:ser>
        <c:ser>
          <c:idx val="6"/>
          <c:order val="6"/>
          <c:tx>
            <c:strRef>
              <c:f>FFL2RHO!$AX$12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9E36-40A7-B157-E50A56E35998}"/>
            </c:ext>
          </c:extLst>
        </c:ser>
        <c:ser>
          <c:idx val="7"/>
          <c:order val="7"/>
          <c:tx>
            <c:strRef>
              <c:f>FFL2RHO!$AY$12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9E36-40A7-B157-E50A56E35998}"/>
            </c:ext>
          </c:extLst>
        </c:ser>
        <c:ser>
          <c:idx val="8"/>
          <c:order val="8"/>
          <c:tx>
            <c:strRef>
              <c:f>FFL2RHO!$AZ$12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9E36-40A7-B157-E50A56E35998}"/>
            </c:ext>
          </c:extLst>
        </c:ser>
        <c:ser>
          <c:idx val="9"/>
          <c:order val="9"/>
          <c:tx>
            <c:strRef>
              <c:f>FFL2RHO!$BA$12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9E36-40A7-B157-E50A56E35998}"/>
            </c:ext>
          </c:extLst>
        </c:ser>
        <c:ser>
          <c:idx val="10"/>
          <c:order val="10"/>
          <c:tx>
            <c:strRef>
              <c:f>FFL2RHO!$BB$12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9E36-40A7-B157-E50A56E35998}"/>
            </c:ext>
          </c:extLst>
        </c:ser>
        <c:ser>
          <c:idx val="11"/>
          <c:order val="11"/>
          <c:tx>
            <c:strRef>
              <c:f>FFL2RHO!$BC$12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9E36-40A7-B157-E50A56E35998}"/>
            </c:ext>
          </c:extLst>
        </c:ser>
        <c:ser>
          <c:idx val="12"/>
          <c:order val="12"/>
          <c:tx>
            <c:strRef>
              <c:f>FFL2RHO!$BD$12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9E36-40A7-B157-E50A56E35998}"/>
            </c:ext>
          </c:extLst>
        </c:ser>
        <c:ser>
          <c:idx val="13"/>
          <c:order val="13"/>
          <c:tx>
            <c:strRef>
              <c:f>FFL2RHO!$BE$12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9E36-40A7-B157-E50A56E35998}"/>
            </c:ext>
          </c:extLst>
        </c:ser>
        <c:ser>
          <c:idx val="14"/>
          <c:order val="14"/>
          <c:tx>
            <c:strRef>
              <c:f>FFL2RHO!$BF$12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FFL2RHO!$AQ$13:$AQ$23</c:f>
            </c:numRef>
          </c:xVal>
          <c:yVal>
            <c:numRef>
              <c:f>FFL2RHO!$BF$13:$BF$23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9E36-40A7-B157-E50A56E3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FFR!$J$12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796-4FFA-8AEA-E05D553B3412}"/>
            </c:ext>
          </c:extLst>
        </c:ser>
        <c:ser>
          <c:idx val="1"/>
          <c:order val="1"/>
          <c:tx>
            <c:strRef>
              <c:f>FFR!$K$12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796-4FFA-8AEA-E05D553B3412}"/>
            </c:ext>
          </c:extLst>
        </c:ser>
        <c:ser>
          <c:idx val="2"/>
          <c:order val="2"/>
          <c:tx>
            <c:strRef>
              <c:f>FFR!$L$12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1796-4FFA-8AEA-E05D553B3412}"/>
            </c:ext>
          </c:extLst>
        </c:ser>
        <c:ser>
          <c:idx val="3"/>
          <c:order val="3"/>
          <c:tx>
            <c:strRef>
              <c:f>FFR!$M$12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1796-4FFA-8AEA-E05D553B3412}"/>
            </c:ext>
          </c:extLst>
        </c:ser>
        <c:ser>
          <c:idx val="4"/>
          <c:order val="4"/>
          <c:tx>
            <c:strRef>
              <c:f>FFR!$N$12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796-4FFA-8AEA-E05D553B3412}"/>
            </c:ext>
          </c:extLst>
        </c:ser>
        <c:ser>
          <c:idx val="5"/>
          <c:order val="5"/>
          <c:tx>
            <c:strRef>
              <c:f>FFR!$O$12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1796-4FFA-8AEA-E05D553B3412}"/>
            </c:ext>
          </c:extLst>
        </c:ser>
        <c:ser>
          <c:idx val="6"/>
          <c:order val="6"/>
          <c:tx>
            <c:strRef>
              <c:f>FFR!$P$12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1796-4FFA-8AEA-E05D553B3412}"/>
            </c:ext>
          </c:extLst>
        </c:ser>
        <c:ser>
          <c:idx val="7"/>
          <c:order val="7"/>
          <c:tx>
            <c:strRef>
              <c:f>FFR!$Q$12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1796-4FFA-8AEA-E05D553B3412}"/>
            </c:ext>
          </c:extLst>
        </c:ser>
        <c:ser>
          <c:idx val="8"/>
          <c:order val="8"/>
          <c:tx>
            <c:strRef>
              <c:f>FFR!$R$12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796-4FFA-8AEA-E05D553B3412}"/>
            </c:ext>
          </c:extLst>
        </c:ser>
        <c:ser>
          <c:idx val="9"/>
          <c:order val="9"/>
          <c:tx>
            <c:strRef>
              <c:f>FFR!$S$12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1796-4FFA-8AEA-E05D553B3412}"/>
            </c:ext>
          </c:extLst>
        </c:ser>
        <c:ser>
          <c:idx val="10"/>
          <c:order val="10"/>
          <c:tx>
            <c:strRef>
              <c:f>FFR!$T$12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1796-4FFA-8AEA-E05D553B3412}"/>
            </c:ext>
          </c:extLst>
        </c:ser>
        <c:ser>
          <c:idx val="11"/>
          <c:order val="11"/>
          <c:tx>
            <c:strRef>
              <c:f>FFR!$U$12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1796-4FFA-8AEA-E05D553B3412}"/>
            </c:ext>
          </c:extLst>
        </c:ser>
        <c:ser>
          <c:idx val="12"/>
          <c:order val="12"/>
          <c:tx>
            <c:strRef>
              <c:f>FFR!$V$12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1796-4FFA-8AEA-E05D553B3412}"/>
            </c:ext>
          </c:extLst>
        </c:ser>
        <c:ser>
          <c:idx val="13"/>
          <c:order val="13"/>
          <c:tx>
            <c:strRef>
              <c:f>FFR!$W$12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1796-4FFA-8AEA-E05D553B3412}"/>
            </c:ext>
          </c:extLst>
        </c:ser>
        <c:ser>
          <c:idx val="14"/>
          <c:order val="14"/>
          <c:tx>
            <c:strRef>
              <c:f>FFR!$X$12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FFR!$I$13:$I$23</c:f>
            </c:numRef>
          </c:xVal>
          <c:yVal>
            <c:numRef>
              <c:f>FFR!$X$13:$X$23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1796-4FFA-8AEA-E05D553B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FFR!$AA$12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0D38-4E0B-A860-2187DAF2E126}"/>
            </c:ext>
          </c:extLst>
        </c:ser>
        <c:ser>
          <c:idx val="1"/>
          <c:order val="1"/>
          <c:tx>
            <c:strRef>
              <c:f>FFR!$AB$12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D38-4E0B-A860-2187DAF2E126}"/>
            </c:ext>
          </c:extLst>
        </c:ser>
        <c:ser>
          <c:idx val="2"/>
          <c:order val="2"/>
          <c:tx>
            <c:strRef>
              <c:f>FFR!$AC$12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0D38-4E0B-A860-2187DAF2E126}"/>
            </c:ext>
          </c:extLst>
        </c:ser>
        <c:ser>
          <c:idx val="3"/>
          <c:order val="3"/>
          <c:tx>
            <c:strRef>
              <c:f>FFR!$AD$12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0D38-4E0B-A860-2187DAF2E126}"/>
            </c:ext>
          </c:extLst>
        </c:ser>
        <c:ser>
          <c:idx val="4"/>
          <c:order val="4"/>
          <c:tx>
            <c:strRef>
              <c:f>FFR!$AE$12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0D38-4E0B-A860-2187DAF2E126}"/>
            </c:ext>
          </c:extLst>
        </c:ser>
        <c:ser>
          <c:idx val="5"/>
          <c:order val="5"/>
          <c:tx>
            <c:strRef>
              <c:f>FFR!$AF$12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0D38-4E0B-A860-2187DAF2E126}"/>
            </c:ext>
          </c:extLst>
        </c:ser>
        <c:ser>
          <c:idx val="6"/>
          <c:order val="6"/>
          <c:tx>
            <c:strRef>
              <c:f>FFR!$AG$12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0D38-4E0B-A860-2187DAF2E126}"/>
            </c:ext>
          </c:extLst>
        </c:ser>
        <c:ser>
          <c:idx val="7"/>
          <c:order val="7"/>
          <c:tx>
            <c:strRef>
              <c:f>FFR!$AH$12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0D38-4E0B-A860-2187DAF2E126}"/>
            </c:ext>
          </c:extLst>
        </c:ser>
        <c:ser>
          <c:idx val="8"/>
          <c:order val="8"/>
          <c:tx>
            <c:strRef>
              <c:f>FFR!$AI$12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D38-4E0B-A860-2187DAF2E126}"/>
            </c:ext>
          </c:extLst>
        </c:ser>
        <c:ser>
          <c:idx val="9"/>
          <c:order val="9"/>
          <c:tx>
            <c:strRef>
              <c:f>FFR!$AJ$12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0D38-4E0B-A860-2187DAF2E126}"/>
            </c:ext>
          </c:extLst>
        </c:ser>
        <c:ser>
          <c:idx val="10"/>
          <c:order val="10"/>
          <c:tx>
            <c:strRef>
              <c:f>FFR!$AK$12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0D38-4E0B-A860-2187DAF2E126}"/>
            </c:ext>
          </c:extLst>
        </c:ser>
        <c:ser>
          <c:idx val="11"/>
          <c:order val="11"/>
          <c:tx>
            <c:strRef>
              <c:f>FFR!$AL$12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D38-4E0B-A860-2187DAF2E126}"/>
            </c:ext>
          </c:extLst>
        </c:ser>
        <c:ser>
          <c:idx val="12"/>
          <c:order val="12"/>
          <c:tx>
            <c:strRef>
              <c:f>FFR!$AM$12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D38-4E0B-A860-2187DAF2E126}"/>
            </c:ext>
          </c:extLst>
        </c:ser>
        <c:ser>
          <c:idx val="13"/>
          <c:order val="13"/>
          <c:tx>
            <c:strRef>
              <c:f>FFR!$AN$12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0D38-4E0B-A860-2187DAF2E126}"/>
            </c:ext>
          </c:extLst>
        </c:ser>
        <c:ser>
          <c:idx val="14"/>
          <c:order val="14"/>
          <c:tx>
            <c:strRef>
              <c:f>FFR!$AO$12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FFR!$Z$13:$Z$23</c:f>
            </c:numRef>
          </c:xVal>
          <c:yVal>
            <c:numRef>
              <c:f>FFR!$AO$13:$AO$23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0D38-4E0B-A860-2187DAF2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FFR!$AR$12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82-4796-9CAC-DC7D26B1E6EE}"/>
            </c:ext>
          </c:extLst>
        </c:ser>
        <c:ser>
          <c:idx val="1"/>
          <c:order val="1"/>
          <c:tx>
            <c:strRef>
              <c:f>FFR!$AS$12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282-4796-9CAC-DC7D26B1E6EE}"/>
            </c:ext>
          </c:extLst>
        </c:ser>
        <c:ser>
          <c:idx val="2"/>
          <c:order val="2"/>
          <c:tx>
            <c:strRef>
              <c:f>FFR!$AT$12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282-4796-9CAC-DC7D26B1E6EE}"/>
            </c:ext>
          </c:extLst>
        </c:ser>
        <c:ser>
          <c:idx val="3"/>
          <c:order val="3"/>
          <c:tx>
            <c:strRef>
              <c:f>FFR!$AU$12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9282-4796-9CAC-DC7D26B1E6EE}"/>
            </c:ext>
          </c:extLst>
        </c:ser>
        <c:ser>
          <c:idx val="4"/>
          <c:order val="4"/>
          <c:tx>
            <c:strRef>
              <c:f>FFR!$AV$12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9282-4796-9CAC-DC7D26B1E6EE}"/>
            </c:ext>
          </c:extLst>
        </c:ser>
        <c:ser>
          <c:idx val="5"/>
          <c:order val="5"/>
          <c:tx>
            <c:strRef>
              <c:f>FFR!$AW$12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9282-4796-9CAC-DC7D26B1E6EE}"/>
            </c:ext>
          </c:extLst>
        </c:ser>
        <c:ser>
          <c:idx val="6"/>
          <c:order val="6"/>
          <c:tx>
            <c:strRef>
              <c:f>FFR!$AX$12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9282-4796-9CAC-DC7D26B1E6EE}"/>
            </c:ext>
          </c:extLst>
        </c:ser>
        <c:ser>
          <c:idx val="7"/>
          <c:order val="7"/>
          <c:tx>
            <c:strRef>
              <c:f>FFR!$AY$12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9282-4796-9CAC-DC7D26B1E6EE}"/>
            </c:ext>
          </c:extLst>
        </c:ser>
        <c:ser>
          <c:idx val="8"/>
          <c:order val="8"/>
          <c:tx>
            <c:strRef>
              <c:f>FFR!$AZ$12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9282-4796-9CAC-DC7D26B1E6EE}"/>
            </c:ext>
          </c:extLst>
        </c:ser>
        <c:ser>
          <c:idx val="9"/>
          <c:order val="9"/>
          <c:tx>
            <c:strRef>
              <c:f>FFR!$BA$12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9282-4796-9CAC-DC7D26B1E6EE}"/>
            </c:ext>
          </c:extLst>
        </c:ser>
        <c:ser>
          <c:idx val="10"/>
          <c:order val="10"/>
          <c:tx>
            <c:strRef>
              <c:f>FFR!$BB$12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9282-4796-9CAC-DC7D26B1E6EE}"/>
            </c:ext>
          </c:extLst>
        </c:ser>
        <c:ser>
          <c:idx val="11"/>
          <c:order val="11"/>
          <c:tx>
            <c:strRef>
              <c:f>FFR!$BC$12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9282-4796-9CAC-DC7D26B1E6EE}"/>
            </c:ext>
          </c:extLst>
        </c:ser>
        <c:ser>
          <c:idx val="12"/>
          <c:order val="12"/>
          <c:tx>
            <c:strRef>
              <c:f>FFR!$BD$12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9282-4796-9CAC-DC7D26B1E6EE}"/>
            </c:ext>
          </c:extLst>
        </c:ser>
        <c:ser>
          <c:idx val="13"/>
          <c:order val="13"/>
          <c:tx>
            <c:strRef>
              <c:f>FFR!$BE$12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9282-4796-9CAC-DC7D26B1E6EE}"/>
            </c:ext>
          </c:extLst>
        </c:ser>
        <c:ser>
          <c:idx val="14"/>
          <c:order val="14"/>
          <c:tx>
            <c:strRef>
              <c:f>FFR!$BF$12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FFR!$AQ$13:$AQ$23</c:f>
            </c:numRef>
          </c:xVal>
          <c:yVal>
            <c:numRef>
              <c:f>FFR!$BF$13:$BF$23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9282-4796-9CAC-DC7D26B1E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ECL!$J$12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EDE-48CA-8063-C6840FD37434}"/>
            </c:ext>
          </c:extLst>
        </c:ser>
        <c:ser>
          <c:idx val="1"/>
          <c:order val="1"/>
          <c:tx>
            <c:strRef>
              <c:f>ECL!$K$12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EDE-48CA-8063-C6840FD37434}"/>
            </c:ext>
          </c:extLst>
        </c:ser>
        <c:ser>
          <c:idx val="2"/>
          <c:order val="2"/>
          <c:tx>
            <c:strRef>
              <c:f>ECL!$L$12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EDE-48CA-8063-C6840FD37434}"/>
            </c:ext>
          </c:extLst>
        </c:ser>
        <c:ser>
          <c:idx val="3"/>
          <c:order val="3"/>
          <c:tx>
            <c:strRef>
              <c:f>ECL!$M$12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EDE-48CA-8063-C6840FD37434}"/>
            </c:ext>
          </c:extLst>
        </c:ser>
        <c:ser>
          <c:idx val="4"/>
          <c:order val="4"/>
          <c:tx>
            <c:strRef>
              <c:f>ECL!$N$12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EDE-48CA-8063-C6840FD37434}"/>
            </c:ext>
          </c:extLst>
        </c:ser>
        <c:ser>
          <c:idx val="5"/>
          <c:order val="5"/>
          <c:tx>
            <c:strRef>
              <c:f>ECL!$O$12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6EDE-48CA-8063-C6840FD37434}"/>
            </c:ext>
          </c:extLst>
        </c:ser>
        <c:ser>
          <c:idx val="6"/>
          <c:order val="6"/>
          <c:tx>
            <c:strRef>
              <c:f>ECL!$P$12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6EDE-48CA-8063-C6840FD37434}"/>
            </c:ext>
          </c:extLst>
        </c:ser>
        <c:ser>
          <c:idx val="7"/>
          <c:order val="7"/>
          <c:tx>
            <c:strRef>
              <c:f>ECL!$Q$12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6EDE-48CA-8063-C6840FD37434}"/>
            </c:ext>
          </c:extLst>
        </c:ser>
        <c:ser>
          <c:idx val="8"/>
          <c:order val="8"/>
          <c:tx>
            <c:strRef>
              <c:f>ECL!$R$12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6EDE-48CA-8063-C6840FD37434}"/>
            </c:ext>
          </c:extLst>
        </c:ser>
        <c:ser>
          <c:idx val="9"/>
          <c:order val="9"/>
          <c:tx>
            <c:strRef>
              <c:f>ECL!$S$12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6EDE-48CA-8063-C6840FD37434}"/>
            </c:ext>
          </c:extLst>
        </c:ser>
        <c:ser>
          <c:idx val="10"/>
          <c:order val="10"/>
          <c:tx>
            <c:strRef>
              <c:f>ECL!$T$12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6EDE-48CA-8063-C6840FD37434}"/>
            </c:ext>
          </c:extLst>
        </c:ser>
        <c:ser>
          <c:idx val="11"/>
          <c:order val="11"/>
          <c:tx>
            <c:strRef>
              <c:f>ECL!$U$12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6EDE-48CA-8063-C6840FD37434}"/>
            </c:ext>
          </c:extLst>
        </c:ser>
        <c:ser>
          <c:idx val="12"/>
          <c:order val="12"/>
          <c:tx>
            <c:strRef>
              <c:f>ECL!$V$12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6EDE-48CA-8063-C6840FD37434}"/>
            </c:ext>
          </c:extLst>
        </c:ser>
        <c:ser>
          <c:idx val="13"/>
          <c:order val="13"/>
          <c:tx>
            <c:strRef>
              <c:f>ECL!$W$12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6EDE-48CA-8063-C6840FD37434}"/>
            </c:ext>
          </c:extLst>
        </c:ser>
        <c:ser>
          <c:idx val="14"/>
          <c:order val="14"/>
          <c:tx>
            <c:strRef>
              <c:f>ECL!$X$12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ECL!$I$13:$I$23</c:f>
            </c:numRef>
          </c:xVal>
          <c:yVal>
            <c:numRef>
              <c:f>ECL!$X$13:$X$23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6EDE-48CA-8063-C6840FD37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ECL!$AA$12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359-4EB5-856C-B1B1CD6ACE0B}"/>
            </c:ext>
          </c:extLst>
        </c:ser>
        <c:ser>
          <c:idx val="1"/>
          <c:order val="1"/>
          <c:tx>
            <c:strRef>
              <c:f>ECL!$AB$12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359-4EB5-856C-B1B1CD6ACE0B}"/>
            </c:ext>
          </c:extLst>
        </c:ser>
        <c:ser>
          <c:idx val="2"/>
          <c:order val="2"/>
          <c:tx>
            <c:strRef>
              <c:f>ECL!$AC$12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359-4EB5-856C-B1B1CD6ACE0B}"/>
            </c:ext>
          </c:extLst>
        </c:ser>
        <c:ser>
          <c:idx val="3"/>
          <c:order val="3"/>
          <c:tx>
            <c:strRef>
              <c:f>ECL!$AD$12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359-4EB5-856C-B1B1CD6ACE0B}"/>
            </c:ext>
          </c:extLst>
        </c:ser>
        <c:ser>
          <c:idx val="4"/>
          <c:order val="4"/>
          <c:tx>
            <c:strRef>
              <c:f>ECL!$AE$12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359-4EB5-856C-B1B1CD6ACE0B}"/>
            </c:ext>
          </c:extLst>
        </c:ser>
        <c:ser>
          <c:idx val="5"/>
          <c:order val="5"/>
          <c:tx>
            <c:strRef>
              <c:f>ECL!$AF$12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6359-4EB5-856C-B1B1CD6ACE0B}"/>
            </c:ext>
          </c:extLst>
        </c:ser>
        <c:ser>
          <c:idx val="6"/>
          <c:order val="6"/>
          <c:tx>
            <c:strRef>
              <c:f>ECL!$AG$12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6359-4EB5-856C-B1B1CD6ACE0B}"/>
            </c:ext>
          </c:extLst>
        </c:ser>
        <c:ser>
          <c:idx val="7"/>
          <c:order val="7"/>
          <c:tx>
            <c:strRef>
              <c:f>ECL!$AH$12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6359-4EB5-856C-B1B1CD6ACE0B}"/>
            </c:ext>
          </c:extLst>
        </c:ser>
        <c:ser>
          <c:idx val="8"/>
          <c:order val="8"/>
          <c:tx>
            <c:strRef>
              <c:f>ECL!$AI$12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6359-4EB5-856C-B1B1CD6ACE0B}"/>
            </c:ext>
          </c:extLst>
        </c:ser>
        <c:ser>
          <c:idx val="9"/>
          <c:order val="9"/>
          <c:tx>
            <c:strRef>
              <c:f>ECL!$AJ$12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6359-4EB5-856C-B1B1CD6ACE0B}"/>
            </c:ext>
          </c:extLst>
        </c:ser>
        <c:ser>
          <c:idx val="10"/>
          <c:order val="10"/>
          <c:tx>
            <c:strRef>
              <c:f>ECL!$AK$12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6359-4EB5-856C-B1B1CD6ACE0B}"/>
            </c:ext>
          </c:extLst>
        </c:ser>
        <c:ser>
          <c:idx val="11"/>
          <c:order val="11"/>
          <c:tx>
            <c:strRef>
              <c:f>ECL!$AL$12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6359-4EB5-856C-B1B1CD6ACE0B}"/>
            </c:ext>
          </c:extLst>
        </c:ser>
        <c:ser>
          <c:idx val="12"/>
          <c:order val="12"/>
          <c:tx>
            <c:strRef>
              <c:f>ECL!$AM$12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6359-4EB5-856C-B1B1CD6ACE0B}"/>
            </c:ext>
          </c:extLst>
        </c:ser>
        <c:ser>
          <c:idx val="13"/>
          <c:order val="13"/>
          <c:tx>
            <c:strRef>
              <c:f>ECL!$AN$12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6359-4EB5-856C-B1B1CD6ACE0B}"/>
            </c:ext>
          </c:extLst>
        </c:ser>
        <c:ser>
          <c:idx val="14"/>
          <c:order val="14"/>
          <c:tx>
            <c:strRef>
              <c:f>ECL!$AO$12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ECL!$Z$13:$Z$23</c:f>
            </c:numRef>
          </c:xVal>
          <c:yVal>
            <c:numRef>
              <c:f>ECL!$AO$13:$AO$23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6359-4EB5-856C-B1B1CD6AC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PBL!$BI$12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PBL!$BI$13:$BI$23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574-4DC1-8B9B-6BF376738F49}"/>
            </c:ext>
          </c:extLst>
        </c:ser>
        <c:ser>
          <c:idx val="1"/>
          <c:order val="1"/>
          <c:tx>
            <c:strRef>
              <c:f>PBL!$BJ$12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PBL!$BJ$13:$BJ$23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574-4DC1-8B9B-6BF376738F49}"/>
            </c:ext>
          </c:extLst>
        </c:ser>
        <c:ser>
          <c:idx val="2"/>
          <c:order val="2"/>
          <c:tx>
            <c:strRef>
              <c:f>PBL!$BK$12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PBL!$BK$13:$BK$23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574-4DC1-8B9B-6BF376738F49}"/>
            </c:ext>
          </c:extLst>
        </c:ser>
        <c:ser>
          <c:idx val="3"/>
          <c:order val="3"/>
          <c:tx>
            <c:strRef>
              <c:f>PBL!$BL$12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PBL!$BL$13:$BL$23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574-4DC1-8B9B-6BF376738F49}"/>
            </c:ext>
          </c:extLst>
        </c:ser>
        <c:ser>
          <c:idx val="4"/>
          <c:order val="4"/>
          <c:tx>
            <c:strRef>
              <c:f>PBL!$BM$12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PBL!$BM$13:$BM$23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574-4DC1-8B9B-6BF376738F49}"/>
            </c:ext>
          </c:extLst>
        </c:ser>
        <c:ser>
          <c:idx val="5"/>
          <c:order val="5"/>
          <c:tx>
            <c:strRef>
              <c:f>PBL!$BN$12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PBL!$BN$13:$BN$23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A574-4DC1-8B9B-6BF376738F49}"/>
            </c:ext>
          </c:extLst>
        </c:ser>
        <c:ser>
          <c:idx val="6"/>
          <c:order val="6"/>
          <c:tx>
            <c:strRef>
              <c:f>PBL!$BO$12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PBL!$BO$13:$BO$23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A574-4DC1-8B9B-6BF376738F49}"/>
            </c:ext>
          </c:extLst>
        </c:ser>
        <c:ser>
          <c:idx val="7"/>
          <c:order val="7"/>
          <c:tx>
            <c:strRef>
              <c:f>PBL!$BP$12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PBL!$BP$13:$BP$23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A574-4DC1-8B9B-6BF376738F49}"/>
            </c:ext>
          </c:extLst>
        </c:ser>
        <c:ser>
          <c:idx val="8"/>
          <c:order val="8"/>
          <c:tx>
            <c:strRef>
              <c:f>PBL!$BQ$12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PBL!$BQ$13:$BQ$23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A574-4DC1-8B9B-6BF376738F49}"/>
            </c:ext>
          </c:extLst>
        </c:ser>
        <c:ser>
          <c:idx val="9"/>
          <c:order val="9"/>
          <c:tx>
            <c:strRef>
              <c:f>PBL!$BR$12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PBL!$BR$13:$BR$23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A574-4DC1-8B9B-6BF376738F49}"/>
            </c:ext>
          </c:extLst>
        </c:ser>
        <c:ser>
          <c:idx val="10"/>
          <c:order val="10"/>
          <c:tx>
            <c:strRef>
              <c:f>PBL!$BS$12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PBL!$BS$13:$BS$23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A574-4DC1-8B9B-6BF376738F49}"/>
            </c:ext>
          </c:extLst>
        </c:ser>
        <c:ser>
          <c:idx val="11"/>
          <c:order val="11"/>
          <c:tx>
            <c:strRef>
              <c:f>PBL!$BT$12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PBL!$BT$13:$BT$23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A574-4DC1-8B9B-6BF376738F49}"/>
            </c:ext>
          </c:extLst>
        </c:ser>
        <c:ser>
          <c:idx val="12"/>
          <c:order val="12"/>
          <c:tx>
            <c:strRef>
              <c:f>PBL!$BU$12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PBL!$BU$13:$BU$23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A574-4DC1-8B9B-6BF376738F49}"/>
            </c:ext>
          </c:extLst>
        </c:ser>
        <c:ser>
          <c:idx val="13"/>
          <c:order val="13"/>
          <c:tx>
            <c:strRef>
              <c:f>PBL!$BV$12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PBL!$BV$13:$BV$23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A574-4DC1-8B9B-6BF376738F49}"/>
            </c:ext>
          </c:extLst>
        </c:ser>
        <c:ser>
          <c:idx val="14"/>
          <c:order val="14"/>
          <c:tx>
            <c:strRef>
              <c:f>PBL!$BW$12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PBL!$BH$13:$BH$23</c:f>
            </c:numRef>
          </c:xVal>
          <c:yVal>
            <c:numRef>
              <c:f>PBL!$BW$13:$BW$23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A574-4DC1-8B9B-6BF376738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ECL!$AR$12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B596-4D18-989B-91184A5A13A5}"/>
            </c:ext>
          </c:extLst>
        </c:ser>
        <c:ser>
          <c:idx val="1"/>
          <c:order val="1"/>
          <c:tx>
            <c:strRef>
              <c:f>ECL!$AS$12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596-4D18-989B-91184A5A13A5}"/>
            </c:ext>
          </c:extLst>
        </c:ser>
        <c:ser>
          <c:idx val="2"/>
          <c:order val="2"/>
          <c:tx>
            <c:strRef>
              <c:f>ECL!$AT$12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B596-4D18-989B-91184A5A13A5}"/>
            </c:ext>
          </c:extLst>
        </c:ser>
        <c:ser>
          <c:idx val="3"/>
          <c:order val="3"/>
          <c:tx>
            <c:strRef>
              <c:f>ECL!$AU$12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B596-4D18-989B-91184A5A13A5}"/>
            </c:ext>
          </c:extLst>
        </c:ser>
        <c:ser>
          <c:idx val="4"/>
          <c:order val="4"/>
          <c:tx>
            <c:strRef>
              <c:f>ECL!$AV$12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B596-4D18-989B-91184A5A13A5}"/>
            </c:ext>
          </c:extLst>
        </c:ser>
        <c:ser>
          <c:idx val="5"/>
          <c:order val="5"/>
          <c:tx>
            <c:strRef>
              <c:f>ECL!$AW$12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B596-4D18-989B-91184A5A13A5}"/>
            </c:ext>
          </c:extLst>
        </c:ser>
        <c:ser>
          <c:idx val="6"/>
          <c:order val="6"/>
          <c:tx>
            <c:strRef>
              <c:f>ECL!$AX$12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B596-4D18-989B-91184A5A13A5}"/>
            </c:ext>
          </c:extLst>
        </c:ser>
        <c:ser>
          <c:idx val="7"/>
          <c:order val="7"/>
          <c:tx>
            <c:strRef>
              <c:f>ECL!$AY$12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B596-4D18-989B-91184A5A13A5}"/>
            </c:ext>
          </c:extLst>
        </c:ser>
        <c:ser>
          <c:idx val="8"/>
          <c:order val="8"/>
          <c:tx>
            <c:strRef>
              <c:f>ECL!$AZ$12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B596-4D18-989B-91184A5A13A5}"/>
            </c:ext>
          </c:extLst>
        </c:ser>
        <c:ser>
          <c:idx val="9"/>
          <c:order val="9"/>
          <c:tx>
            <c:strRef>
              <c:f>ECL!$BA$12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B596-4D18-989B-91184A5A13A5}"/>
            </c:ext>
          </c:extLst>
        </c:ser>
        <c:ser>
          <c:idx val="10"/>
          <c:order val="10"/>
          <c:tx>
            <c:strRef>
              <c:f>ECL!$BB$12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596-4D18-989B-91184A5A13A5}"/>
            </c:ext>
          </c:extLst>
        </c:ser>
        <c:ser>
          <c:idx val="11"/>
          <c:order val="11"/>
          <c:tx>
            <c:strRef>
              <c:f>ECL!$BC$12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B596-4D18-989B-91184A5A13A5}"/>
            </c:ext>
          </c:extLst>
        </c:ser>
        <c:ser>
          <c:idx val="12"/>
          <c:order val="12"/>
          <c:tx>
            <c:strRef>
              <c:f>ECL!$BD$12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B596-4D18-989B-91184A5A13A5}"/>
            </c:ext>
          </c:extLst>
        </c:ser>
        <c:ser>
          <c:idx val="13"/>
          <c:order val="13"/>
          <c:tx>
            <c:strRef>
              <c:f>ECL!$BE$12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B596-4D18-989B-91184A5A13A5}"/>
            </c:ext>
          </c:extLst>
        </c:ser>
        <c:ser>
          <c:idx val="14"/>
          <c:order val="14"/>
          <c:tx>
            <c:strRef>
              <c:f>ECL!$BF$12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ECL!$AQ$13:$AQ$23</c:f>
            </c:numRef>
          </c:xVal>
          <c:yVal>
            <c:numRef>
              <c:f>ECL!$BF$13:$BF$23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B596-4D18-989B-91184A5A1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RCL!$J$12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D6B-4B98-B646-1D14D347D243}"/>
            </c:ext>
          </c:extLst>
        </c:ser>
        <c:ser>
          <c:idx val="1"/>
          <c:order val="1"/>
          <c:tx>
            <c:strRef>
              <c:f>RCL!$K$12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D6B-4B98-B646-1D14D347D243}"/>
            </c:ext>
          </c:extLst>
        </c:ser>
        <c:ser>
          <c:idx val="2"/>
          <c:order val="2"/>
          <c:tx>
            <c:strRef>
              <c:f>RCL!$L$12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CD6B-4B98-B646-1D14D347D243}"/>
            </c:ext>
          </c:extLst>
        </c:ser>
        <c:ser>
          <c:idx val="3"/>
          <c:order val="3"/>
          <c:tx>
            <c:strRef>
              <c:f>RCL!$M$12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CD6B-4B98-B646-1D14D347D243}"/>
            </c:ext>
          </c:extLst>
        </c:ser>
        <c:ser>
          <c:idx val="4"/>
          <c:order val="4"/>
          <c:tx>
            <c:strRef>
              <c:f>RCL!$N$12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D6B-4B98-B646-1D14D347D243}"/>
            </c:ext>
          </c:extLst>
        </c:ser>
        <c:ser>
          <c:idx val="5"/>
          <c:order val="5"/>
          <c:tx>
            <c:strRef>
              <c:f>RCL!$O$12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D6B-4B98-B646-1D14D347D243}"/>
            </c:ext>
          </c:extLst>
        </c:ser>
        <c:ser>
          <c:idx val="6"/>
          <c:order val="6"/>
          <c:tx>
            <c:strRef>
              <c:f>RCL!$P$12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CD6B-4B98-B646-1D14D347D243}"/>
            </c:ext>
          </c:extLst>
        </c:ser>
        <c:ser>
          <c:idx val="7"/>
          <c:order val="7"/>
          <c:tx>
            <c:strRef>
              <c:f>RCL!$Q$12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CD6B-4B98-B646-1D14D347D243}"/>
            </c:ext>
          </c:extLst>
        </c:ser>
        <c:ser>
          <c:idx val="8"/>
          <c:order val="8"/>
          <c:tx>
            <c:strRef>
              <c:f>RCL!$R$12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CD6B-4B98-B646-1D14D347D243}"/>
            </c:ext>
          </c:extLst>
        </c:ser>
        <c:ser>
          <c:idx val="9"/>
          <c:order val="9"/>
          <c:tx>
            <c:strRef>
              <c:f>RCL!$S$12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CD6B-4B98-B646-1D14D347D243}"/>
            </c:ext>
          </c:extLst>
        </c:ser>
        <c:ser>
          <c:idx val="10"/>
          <c:order val="10"/>
          <c:tx>
            <c:strRef>
              <c:f>RCL!$T$12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CD6B-4B98-B646-1D14D347D243}"/>
            </c:ext>
          </c:extLst>
        </c:ser>
        <c:ser>
          <c:idx val="11"/>
          <c:order val="11"/>
          <c:tx>
            <c:strRef>
              <c:f>RCL!$U$12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D6B-4B98-B646-1D14D347D243}"/>
            </c:ext>
          </c:extLst>
        </c:ser>
        <c:ser>
          <c:idx val="12"/>
          <c:order val="12"/>
          <c:tx>
            <c:strRef>
              <c:f>RCL!$V$12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CD6B-4B98-B646-1D14D347D243}"/>
            </c:ext>
          </c:extLst>
        </c:ser>
        <c:ser>
          <c:idx val="13"/>
          <c:order val="13"/>
          <c:tx>
            <c:strRef>
              <c:f>RCL!$W$12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D6B-4B98-B646-1D14D347D243}"/>
            </c:ext>
          </c:extLst>
        </c:ser>
        <c:ser>
          <c:idx val="14"/>
          <c:order val="14"/>
          <c:tx>
            <c:strRef>
              <c:f>RCL!$X$12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RCL!$I$13:$I$23</c:f>
            </c:numRef>
          </c:xVal>
          <c:yVal>
            <c:numRef>
              <c:f>RCL!$X$13:$X$23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D6B-4B98-B646-1D14D347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RCL!$AA$12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28B-4681-8096-28CD69E3F419}"/>
            </c:ext>
          </c:extLst>
        </c:ser>
        <c:ser>
          <c:idx val="1"/>
          <c:order val="1"/>
          <c:tx>
            <c:strRef>
              <c:f>RCL!$AB$12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28B-4681-8096-28CD69E3F419}"/>
            </c:ext>
          </c:extLst>
        </c:ser>
        <c:ser>
          <c:idx val="2"/>
          <c:order val="2"/>
          <c:tx>
            <c:strRef>
              <c:f>RCL!$AC$12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F28B-4681-8096-28CD69E3F419}"/>
            </c:ext>
          </c:extLst>
        </c:ser>
        <c:ser>
          <c:idx val="3"/>
          <c:order val="3"/>
          <c:tx>
            <c:strRef>
              <c:f>RCL!$AD$12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F28B-4681-8096-28CD69E3F419}"/>
            </c:ext>
          </c:extLst>
        </c:ser>
        <c:ser>
          <c:idx val="4"/>
          <c:order val="4"/>
          <c:tx>
            <c:strRef>
              <c:f>RCL!$AE$12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28B-4681-8096-28CD69E3F419}"/>
            </c:ext>
          </c:extLst>
        </c:ser>
        <c:ser>
          <c:idx val="5"/>
          <c:order val="5"/>
          <c:tx>
            <c:strRef>
              <c:f>RCL!$AF$12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F28B-4681-8096-28CD69E3F419}"/>
            </c:ext>
          </c:extLst>
        </c:ser>
        <c:ser>
          <c:idx val="6"/>
          <c:order val="6"/>
          <c:tx>
            <c:strRef>
              <c:f>RCL!$AG$12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F28B-4681-8096-28CD69E3F419}"/>
            </c:ext>
          </c:extLst>
        </c:ser>
        <c:ser>
          <c:idx val="7"/>
          <c:order val="7"/>
          <c:tx>
            <c:strRef>
              <c:f>RCL!$AH$12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F28B-4681-8096-28CD69E3F419}"/>
            </c:ext>
          </c:extLst>
        </c:ser>
        <c:ser>
          <c:idx val="8"/>
          <c:order val="8"/>
          <c:tx>
            <c:strRef>
              <c:f>RCL!$AI$12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F28B-4681-8096-28CD69E3F419}"/>
            </c:ext>
          </c:extLst>
        </c:ser>
        <c:ser>
          <c:idx val="9"/>
          <c:order val="9"/>
          <c:tx>
            <c:strRef>
              <c:f>RCL!$AJ$12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F28B-4681-8096-28CD69E3F419}"/>
            </c:ext>
          </c:extLst>
        </c:ser>
        <c:ser>
          <c:idx val="10"/>
          <c:order val="10"/>
          <c:tx>
            <c:strRef>
              <c:f>RCL!$AK$12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F28B-4681-8096-28CD69E3F419}"/>
            </c:ext>
          </c:extLst>
        </c:ser>
        <c:ser>
          <c:idx val="11"/>
          <c:order val="11"/>
          <c:tx>
            <c:strRef>
              <c:f>RCL!$AL$12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F28B-4681-8096-28CD69E3F419}"/>
            </c:ext>
          </c:extLst>
        </c:ser>
        <c:ser>
          <c:idx val="12"/>
          <c:order val="12"/>
          <c:tx>
            <c:strRef>
              <c:f>RCL!$AM$12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F28B-4681-8096-28CD69E3F419}"/>
            </c:ext>
          </c:extLst>
        </c:ser>
        <c:ser>
          <c:idx val="13"/>
          <c:order val="13"/>
          <c:tx>
            <c:strRef>
              <c:f>RCL!$AN$12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F28B-4681-8096-28CD69E3F419}"/>
            </c:ext>
          </c:extLst>
        </c:ser>
        <c:ser>
          <c:idx val="14"/>
          <c:order val="14"/>
          <c:tx>
            <c:strRef>
              <c:f>RCL!$AO$12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RCL!$Z$13:$Z$23</c:f>
            </c:numRef>
          </c:xVal>
          <c:yVal>
            <c:numRef>
              <c:f>RCL!$AO$13:$AO$23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F28B-4681-8096-28CD69E3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RCL!$AR$12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2A14-4276-B1C5-DBDD0BD773DC}"/>
            </c:ext>
          </c:extLst>
        </c:ser>
        <c:ser>
          <c:idx val="1"/>
          <c:order val="1"/>
          <c:tx>
            <c:strRef>
              <c:f>RCL!$AS$12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2A14-4276-B1C5-DBDD0BD773DC}"/>
            </c:ext>
          </c:extLst>
        </c:ser>
        <c:ser>
          <c:idx val="2"/>
          <c:order val="2"/>
          <c:tx>
            <c:strRef>
              <c:f>RCL!$AT$12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2A14-4276-B1C5-DBDD0BD773DC}"/>
            </c:ext>
          </c:extLst>
        </c:ser>
        <c:ser>
          <c:idx val="3"/>
          <c:order val="3"/>
          <c:tx>
            <c:strRef>
              <c:f>RCL!$AU$12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2A14-4276-B1C5-DBDD0BD773DC}"/>
            </c:ext>
          </c:extLst>
        </c:ser>
        <c:ser>
          <c:idx val="4"/>
          <c:order val="4"/>
          <c:tx>
            <c:strRef>
              <c:f>RCL!$AV$12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2A14-4276-B1C5-DBDD0BD773DC}"/>
            </c:ext>
          </c:extLst>
        </c:ser>
        <c:ser>
          <c:idx val="5"/>
          <c:order val="5"/>
          <c:tx>
            <c:strRef>
              <c:f>RCL!$AW$12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2A14-4276-B1C5-DBDD0BD773DC}"/>
            </c:ext>
          </c:extLst>
        </c:ser>
        <c:ser>
          <c:idx val="6"/>
          <c:order val="6"/>
          <c:tx>
            <c:strRef>
              <c:f>RCL!$AX$12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2A14-4276-B1C5-DBDD0BD773DC}"/>
            </c:ext>
          </c:extLst>
        </c:ser>
        <c:ser>
          <c:idx val="7"/>
          <c:order val="7"/>
          <c:tx>
            <c:strRef>
              <c:f>RCL!$AY$12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2A14-4276-B1C5-DBDD0BD773DC}"/>
            </c:ext>
          </c:extLst>
        </c:ser>
        <c:ser>
          <c:idx val="8"/>
          <c:order val="8"/>
          <c:tx>
            <c:strRef>
              <c:f>RCL!$AZ$12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2A14-4276-B1C5-DBDD0BD773DC}"/>
            </c:ext>
          </c:extLst>
        </c:ser>
        <c:ser>
          <c:idx val="9"/>
          <c:order val="9"/>
          <c:tx>
            <c:strRef>
              <c:f>RCL!$BA$12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2A14-4276-B1C5-DBDD0BD773DC}"/>
            </c:ext>
          </c:extLst>
        </c:ser>
        <c:ser>
          <c:idx val="10"/>
          <c:order val="10"/>
          <c:tx>
            <c:strRef>
              <c:f>RCL!$BB$12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2A14-4276-B1C5-DBDD0BD773DC}"/>
            </c:ext>
          </c:extLst>
        </c:ser>
        <c:ser>
          <c:idx val="11"/>
          <c:order val="11"/>
          <c:tx>
            <c:strRef>
              <c:f>RCL!$BC$12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2A14-4276-B1C5-DBDD0BD773DC}"/>
            </c:ext>
          </c:extLst>
        </c:ser>
        <c:ser>
          <c:idx val="12"/>
          <c:order val="12"/>
          <c:tx>
            <c:strRef>
              <c:f>RCL!$BD$12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2A14-4276-B1C5-DBDD0BD773DC}"/>
            </c:ext>
          </c:extLst>
        </c:ser>
        <c:ser>
          <c:idx val="13"/>
          <c:order val="13"/>
          <c:tx>
            <c:strRef>
              <c:f>RCL!$BE$12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2A14-4276-B1C5-DBDD0BD773DC}"/>
            </c:ext>
          </c:extLst>
        </c:ser>
        <c:ser>
          <c:idx val="14"/>
          <c:order val="14"/>
          <c:tx>
            <c:strRef>
              <c:f>RCL!$BF$12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RCL!$AQ$13:$AQ$23</c:f>
            </c:numRef>
          </c:xVal>
          <c:yVal>
            <c:numRef>
              <c:f>RCL!$BF$13:$BF$23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2A14-4276-B1C5-DBDD0BD7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ATL!$J$12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00B4-4704-BEC5-A94177EACF1F}"/>
            </c:ext>
          </c:extLst>
        </c:ser>
        <c:ser>
          <c:idx val="1"/>
          <c:order val="1"/>
          <c:tx>
            <c:strRef>
              <c:f>ATL!$K$12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0B4-4704-BEC5-A94177EACF1F}"/>
            </c:ext>
          </c:extLst>
        </c:ser>
        <c:ser>
          <c:idx val="2"/>
          <c:order val="2"/>
          <c:tx>
            <c:strRef>
              <c:f>ATL!$L$12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00B4-4704-BEC5-A94177EACF1F}"/>
            </c:ext>
          </c:extLst>
        </c:ser>
        <c:ser>
          <c:idx val="3"/>
          <c:order val="3"/>
          <c:tx>
            <c:strRef>
              <c:f>ATL!$M$12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00B4-4704-BEC5-A94177EACF1F}"/>
            </c:ext>
          </c:extLst>
        </c:ser>
        <c:ser>
          <c:idx val="4"/>
          <c:order val="4"/>
          <c:tx>
            <c:strRef>
              <c:f>ATL!$N$12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00B4-4704-BEC5-A94177EACF1F}"/>
            </c:ext>
          </c:extLst>
        </c:ser>
        <c:ser>
          <c:idx val="5"/>
          <c:order val="5"/>
          <c:tx>
            <c:strRef>
              <c:f>ATL!$O$12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00B4-4704-BEC5-A94177EACF1F}"/>
            </c:ext>
          </c:extLst>
        </c:ser>
        <c:ser>
          <c:idx val="6"/>
          <c:order val="6"/>
          <c:tx>
            <c:strRef>
              <c:f>ATL!$P$12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00B4-4704-BEC5-A94177EACF1F}"/>
            </c:ext>
          </c:extLst>
        </c:ser>
        <c:ser>
          <c:idx val="7"/>
          <c:order val="7"/>
          <c:tx>
            <c:strRef>
              <c:f>ATL!$Q$12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00B4-4704-BEC5-A94177EACF1F}"/>
            </c:ext>
          </c:extLst>
        </c:ser>
        <c:ser>
          <c:idx val="8"/>
          <c:order val="8"/>
          <c:tx>
            <c:strRef>
              <c:f>ATL!$R$12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0B4-4704-BEC5-A94177EACF1F}"/>
            </c:ext>
          </c:extLst>
        </c:ser>
        <c:ser>
          <c:idx val="9"/>
          <c:order val="9"/>
          <c:tx>
            <c:strRef>
              <c:f>ATL!$S$12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00B4-4704-BEC5-A94177EACF1F}"/>
            </c:ext>
          </c:extLst>
        </c:ser>
        <c:ser>
          <c:idx val="10"/>
          <c:order val="10"/>
          <c:tx>
            <c:strRef>
              <c:f>ATL!$T$12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00B4-4704-BEC5-A94177EACF1F}"/>
            </c:ext>
          </c:extLst>
        </c:ser>
        <c:ser>
          <c:idx val="11"/>
          <c:order val="11"/>
          <c:tx>
            <c:strRef>
              <c:f>ATL!$U$12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0B4-4704-BEC5-A94177EACF1F}"/>
            </c:ext>
          </c:extLst>
        </c:ser>
        <c:ser>
          <c:idx val="12"/>
          <c:order val="12"/>
          <c:tx>
            <c:strRef>
              <c:f>ATL!$V$12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0B4-4704-BEC5-A94177EACF1F}"/>
            </c:ext>
          </c:extLst>
        </c:ser>
        <c:ser>
          <c:idx val="13"/>
          <c:order val="13"/>
          <c:tx>
            <c:strRef>
              <c:f>ATL!$W$12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00B4-4704-BEC5-A94177EACF1F}"/>
            </c:ext>
          </c:extLst>
        </c:ser>
        <c:ser>
          <c:idx val="14"/>
          <c:order val="14"/>
          <c:tx>
            <c:strRef>
              <c:f>ATL!$X$12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ATL!$I$13:$I$23</c:f>
            </c:numRef>
          </c:xVal>
          <c:yVal>
            <c:numRef>
              <c:f>ATL!$X$13:$X$23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00B4-4704-BEC5-A94177EA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ATL!$AA$12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90F-4564-9F26-CDA1DEF7175C}"/>
            </c:ext>
          </c:extLst>
        </c:ser>
        <c:ser>
          <c:idx val="1"/>
          <c:order val="1"/>
          <c:tx>
            <c:strRef>
              <c:f>ATL!$AB$12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90F-4564-9F26-CDA1DEF7175C}"/>
            </c:ext>
          </c:extLst>
        </c:ser>
        <c:ser>
          <c:idx val="2"/>
          <c:order val="2"/>
          <c:tx>
            <c:strRef>
              <c:f>ATL!$AC$12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90F-4564-9F26-CDA1DEF7175C}"/>
            </c:ext>
          </c:extLst>
        </c:ser>
        <c:ser>
          <c:idx val="3"/>
          <c:order val="3"/>
          <c:tx>
            <c:strRef>
              <c:f>ATL!$AD$12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90F-4564-9F26-CDA1DEF7175C}"/>
            </c:ext>
          </c:extLst>
        </c:ser>
        <c:ser>
          <c:idx val="4"/>
          <c:order val="4"/>
          <c:tx>
            <c:strRef>
              <c:f>ATL!$AE$12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90F-4564-9F26-CDA1DEF7175C}"/>
            </c:ext>
          </c:extLst>
        </c:ser>
        <c:ser>
          <c:idx val="5"/>
          <c:order val="5"/>
          <c:tx>
            <c:strRef>
              <c:f>ATL!$AF$12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A90F-4564-9F26-CDA1DEF7175C}"/>
            </c:ext>
          </c:extLst>
        </c:ser>
        <c:ser>
          <c:idx val="6"/>
          <c:order val="6"/>
          <c:tx>
            <c:strRef>
              <c:f>ATL!$AG$12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A90F-4564-9F26-CDA1DEF7175C}"/>
            </c:ext>
          </c:extLst>
        </c:ser>
        <c:ser>
          <c:idx val="7"/>
          <c:order val="7"/>
          <c:tx>
            <c:strRef>
              <c:f>ATL!$AH$12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A90F-4564-9F26-CDA1DEF7175C}"/>
            </c:ext>
          </c:extLst>
        </c:ser>
        <c:ser>
          <c:idx val="8"/>
          <c:order val="8"/>
          <c:tx>
            <c:strRef>
              <c:f>ATL!$AI$12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A90F-4564-9F26-CDA1DEF7175C}"/>
            </c:ext>
          </c:extLst>
        </c:ser>
        <c:ser>
          <c:idx val="9"/>
          <c:order val="9"/>
          <c:tx>
            <c:strRef>
              <c:f>ATL!$AJ$12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A90F-4564-9F26-CDA1DEF7175C}"/>
            </c:ext>
          </c:extLst>
        </c:ser>
        <c:ser>
          <c:idx val="10"/>
          <c:order val="10"/>
          <c:tx>
            <c:strRef>
              <c:f>ATL!$AK$12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A90F-4564-9F26-CDA1DEF7175C}"/>
            </c:ext>
          </c:extLst>
        </c:ser>
        <c:ser>
          <c:idx val="11"/>
          <c:order val="11"/>
          <c:tx>
            <c:strRef>
              <c:f>ATL!$AL$12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A90F-4564-9F26-CDA1DEF7175C}"/>
            </c:ext>
          </c:extLst>
        </c:ser>
        <c:ser>
          <c:idx val="12"/>
          <c:order val="12"/>
          <c:tx>
            <c:strRef>
              <c:f>ATL!$AM$12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A90F-4564-9F26-CDA1DEF7175C}"/>
            </c:ext>
          </c:extLst>
        </c:ser>
        <c:ser>
          <c:idx val="13"/>
          <c:order val="13"/>
          <c:tx>
            <c:strRef>
              <c:f>ATL!$AN$12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A90F-4564-9F26-CDA1DEF7175C}"/>
            </c:ext>
          </c:extLst>
        </c:ser>
        <c:ser>
          <c:idx val="14"/>
          <c:order val="14"/>
          <c:tx>
            <c:strRef>
              <c:f>ATL!$AO$12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ATL!$Z$13:$Z$23</c:f>
            </c:numRef>
          </c:xVal>
          <c:yVal>
            <c:numRef>
              <c:f>ATL!$AO$13:$AO$23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A90F-4564-9F26-CDA1DEF71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ATL!$AR$12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4EE-4BBB-B0FB-AD532946EBF7}"/>
            </c:ext>
          </c:extLst>
        </c:ser>
        <c:ser>
          <c:idx val="1"/>
          <c:order val="1"/>
          <c:tx>
            <c:strRef>
              <c:f>ATL!$AS$12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4EE-4BBB-B0FB-AD532946EBF7}"/>
            </c:ext>
          </c:extLst>
        </c:ser>
        <c:ser>
          <c:idx val="2"/>
          <c:order val="2"/>
          <c:tx>
            <c:strRef>
              <c:f>ATL!$AT$12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4EE-4BBB-B0FB-AD532946EBF7}"/>
            </c:ext>
          </c:extLst>
        </c:ser>
        <c:ser>
          <c:idx val="3"/>
          <c:order val="3"/>
          <c:tx>
            <c:strRef>
              <c:f>ATL!$AU$12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34EE-4BBB-B0FB-AD532946EBF7}"/>
            </c:ext>
          </c:extLst>
        </c:ser>
        <c:ser>
          <c:idx val="4"/>
          <c:order val="4"/>
          <c:tx>
            <c:strRef>
              <c:f>ATL!$AV$12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34EE-4BBB-B0FB-AD532946EBF7}"/>
            </c:ext>
          </c:extLst>
        </c:ser>
        <c:ser>
          <c:idx val="5"/>
          <c:order val="5"/>
          <c:tx>
            <c:strRef>
              <c:f>ATL!$AW$12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34EE-4BBB-B0FB-AD532946EBF7}"/>
            </c:ext>
          </c:extLst>
        </c:ser>
        <c:ser>
          <c:idx val="6"/>
          <c:order val="6"/>
          <c:tx>
            <c:strRef>
              <c:f>ATL!$AX$12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34EE-4BBB-B0FB-AD532946EBF7}"/>
            </c:ext>
          </c:extLst>
        </c:ser>
        <c:ser>
          <c:idx val="7"/>
          <c:order val="7"/>
          <c:tx>
            <c:strRef>
              <c:f>ATL!$AY$12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4EE-4BBB-B0FB-AD532946EBF7}"/>
            </c:ext>
          </c:extLst>
        </c:ser>
        <c:ser>
          <c:idx val="8"/>
          <c:order val="8"/>
          <c:tx>
            <c:strRef>
              <c:f>ATL!$AZ$12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34EE-4BBB-B0FB-AD532946EBF7}"/>
            </c:ext>
          </c:extLst>
        </c:ser>
        <c:ser>
          <c:idx val="9"/>
          <c:order val="9"/>
          <c:tx>
            <c:strRef>
              <c:f>ATL!$BA$12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4EE-4BBB-B0FB-AD532946EBF7}"/>
            </c:ext>
          </c:extLst>
        </c:ser>
        <c:ser>
          <c:idx val="10"/>
          <c:order val="10"/>
          <c:tx>
            <c:strRef>
              <c:f>ATL!$BB$12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34EE-4BBB-B0FB-AD532946EBF7}"/>
            </c:ext>
          </c:extLst>
        </c:ser>
        <c:ser>
          <c:idx val="11"/>
          <c:order val="11"/>
          <c:tx>
            <c:strRef>
              <c:f>ATL!$BC$12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34EE-4BBB-B0FB-AD532946EBF7}"/>
            </c:ext>
          </c:extLst>
        </c:ser>
        <c:ser>
          <c:idx val="12"/>
          <c:order val="12"/>
          <c:tx>
            <c:strRef>
              <c:f>ATL!$BD$12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34EE-4BBB-B0FB-AD532946EBF7}"/>
            </c:ext>
          </c:extLst>
        </c:ser>
        <c:ser>
          <c:idx val="13"/>
          <c:order val="13"/>
          <c:tx>
            <c:strRef>
              <c:f>ATL!$BE$12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4EE-4BBB-B0FB-AD532946EBF7}"/>
            </c:ext>
          </c:extLst>
        </c:ser>
        <c:ser>
          <c:idx val="14"/>
          <c:order val="14"/>
          <c:tx>
            <c:strRef>
              <c:f>ATL!$BF$12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ATL!$AQ$13:$AQ$23</c:f>
            </c:numRef>
          </c:xVal>
          <c:yVal>
            <c:numRef>
              <c:f>ATL!$BF$13:$BF$23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34EE-4BBB-B0FB-AD532946E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ETL!$J$12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7462-4368-8868-76AF3AADB2BC}"/>
            </c:ext>
          </c:extLst>
        </c:ser>
        <c:ser>
          <c:idx val="1"/>
          <c:order val="1"/>
          <c:tx>
            <c:strRef>
              <c:f>ETL!$K$12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462-4368-8868-76AF3AADB2BC}"/>
            </c:ext>
          </c:extLst>
        </c:ser>
        <c:ser>
          <c:idx val="2"/>
          <c:order val="2"/>
          <c:tx>
            <c:strRef>
              <c:f>ETL!$L$12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7462-4368-8868-76AF3AADB2BC}"/>
            </c:ext>
          </c:extLst>
        </c:ser>
        <c:ser>
          <c:idx val="3"/>
          <c:order val="3"/>
          <c:tx>
            <c:strRef>
              <c:f>ETL!$M$12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7462-4368-8868-76AF3AADB2BC}"/>
            </c:ext>
          </c:extLst>
        </c:ser>
        <c:ser>
          <c:idx val="4"/>
          <c:order val="4"/>
          <c:tx>
            <c:strRef>
              <c:f>ETL!$N$12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7462-4368-8868-76AF3AADB2BC}"/>
            </c:ext>
          </c:extLst>
        </c:ser>
        <c:ser>
          <c:idx val="5"/>
          <c:order val="5"/>
          <c:tx>
            <c:strRef>
              <c:f>ETL!$O$12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7462-4368-8868-76AF3AADB2BC}"/>
            </c:ext>
          </c:extLst>
        </c:ser>
        <c:ser>
          <c:idx val="6"/>
          <c:order val="6"/>
          <c:tx>
            <c:strRef>
              <c:f>ETL!$P$12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7462-4368-8868-76AF3AADB2BC}"/>
            </c:ext>
          </c:extLst>
        </c:ser>
        <c:ser>
          <c:idx val="7"/>
          <c:order val="7"/>
          <c:tx>
            <c:strRef>
              <c:f>ETL!$Q$12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7462-4368-8868-76AF3AADB2BC}"/>
            </c:ext>
          </c:extLst>
        </c:ser>
        <c:ser>
          <c:idx val="8"/>
          <c:order val="8"/>
          <c:tx>
            <c:strRef>
              <c:f>ETL!$R$12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7462-4368-8868-76AF3AADB2BC}"/>
            </c:ext>
          </c:extLst>
        </c:ser>
        <c:ser>
          <c:idx val="9"/>
          <c:order val="9"/>
          <c:tx>
            <c:strRef>
              <c:f>ETL!$S$12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7462-4368-8868-76AF3AADB2BC}"/>
            </c:ext>
          </c:extLst>
        </c:ser>
        <c:ser>
          <c:idx val="10"/>
          <c:order val="10"/>
          <c:tx>
            <c:strRef>
              <c:f>ETL!$T$12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7462-4368-8868-76AF3AADB2BC}"/>
            </c:ext>
          </c:extLst>
        </c:ser>
        <c:ser>
          <c:idx val="11"/>
          <c:order val="11"/>
          <c:tx>
            <c:strRef>
              <c:f>ETL!$U$12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7462-4368-8868-76AF3AADB2BC}"/>
            </c:ext>
          </c:extLst>
        </c:ser>
        <c:ser>
          <c:idx val="12"/>
          <c:order val="12"/>
          <c:tx>
            <c:strRef>
              <c:f>ETL!$V$12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7462-4368-8868-76AF3AADB2BC}"/>
            </c:ext>
          </c:extLst>
        </c:ser>
        <c:ser>
          <c:idx val="13"/>
          <c:order val="13"/>
          <c:tx>
            <c:strRef>
              <c:f>ETL!$W$12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7462-4368-8868-76AF3AADB2BC}"/>
            </c:ext>
          </c:extLst>
        </c:ser>
        <c:ser>
          <c:idx val="14"/>
          <c:order val="14"/>
          <c:tx>
            <c:strRef>
              <c:f>ETL!$X$12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ETL!$I$13:$I$23</c:f>
            </c:numRef>
          </c:xVal>
          <c:yVal>
            <c:numRef>
              <c:f>ETL!$X$13:$X$23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7462-4368-8868-76AF3AADB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ETL!$AA$12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89B-4688-8065-3C4BC4379860}"/>
            </c:ext>
          </c:extLst>
        </c:ser>
        <c:ser>
          <c:idx val="1"/>
          <c:order val="1"/>
          <c:tx>
            <c:strRef>
              <c:f>ETL!$AB$12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89B-4688-8065-3C4BC4379860}"/>
            </c:ext>
          </c:extLst>
        </c:ser>
        <c:ser>
          <c:idx val="2"/>
          <c:order val="2"/>
          <c:tx>
            <c:strRef>
              <c:f>ETL!$AC$12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89B-4688-8065-3C4BC4379860}"/>
            </c:ext>
          </c:extLst>
        </c:ser>
        <c:ser>
          <c:idx val="3"/>
          <c:order val="3"/>
          <c:tx>
            <c:strRef>
              <c:f>ETL!$AD$12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E89B-4688-8065-3C4BC4379860}"/>
            </c:ext>
          </c:extLst>
        </c:ser>
        <c:ser>
          <c:idx val="4"/>
          <c:order val="4"/>
          <c:tx>
            <c:strRef>
              <c:f>ETL!$AE$12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E89B-4688-8065-3C4BC4379860}"/>
            </c:ext>
          </c:extLst>
        </c:ser>
        <c:ser>
          <c:idx val="5"/>
          <c:order val="5"/>
          <c:tx>
            <c:strRef>
              <c:f>ETL!$AF$12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E89B-4688-8065-3C4BC4379860}"/>
            </c:ext>
          </c:extLst>
        </c:ser>
        <c:ser>
          <c:idx val="6"/>
          <c:order val="6"/>
          <c:tx>
            <c:strRef>
              <c:f>ETL!$AG$12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E89B-4688-8065-3C4BC4379860}"/>
            </c:ext>
          </c:extLst>
        </c:ser>
        <c:ser>
          <c:idx val="7"/>
          <c:order val="7"/>
          <c:tx>
            <c:strRef>
              <c:f>ETL!$AH$12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E89B-4688-8065-3C4BC4379860}"/>
            </c:ext>
          </c:extLst>
        </c:ser>
        <c:ser>
          <c:idx val="8"/>
          <c:order val="8"/>
          <c:tx>
            <c:strRef>
              <c:f>ETL!$AI$12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E89B-4688-8065-3C4BC4379860}"/>
            </c:ext>
          </c:extLst>
        </c:ser>
        <c:ser>
          <c:idx val="9"/>
          <c:order val="9"/>
          <c:tx>
            <c:strRef>
              <c:f>ETL!$AJ$12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E89B-4688-8065-3C4BC4379860}"/>
            </c:ext>
          </c:extLst>
        </c:ser>
        <c:ser>
          <c:idx val="10"/>
          <c:order val="10"/>
          <c:tx>
            <c:strRef>
              <c:f>ETL!$AK$12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E89B-4688-8065-3C4BC4379860}"/>
            </c:ext>
          </c:extLst>
        </c:ser>
        <c:ser>
          <c:idx val="11"/>
          <c:order val="11"/>
          <c:tx>
            <c:strRef>
              <c:f>ETL!$AL$12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E89B-4688-8065-3C4BC4379860}"/>
            </c:ext>
          </c:extLst>
        </c:ser>
        <c:ser>
          <c:idx val="12"/>
          <c:order val="12"/>
          <c:tx>
            <c:strRef>
              <c:f>ETL!$AM$12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E89B-4688-8065-3C4BC4379860}"/>
            </c:ext>
          </c:extLst>
        </c:ser>
        <c:ser>
          <c:idx val="13"/>
          <c:order val="13"/>
          <c:tx>
            <c:strRef>
              <c:f>ETL!$AN$12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E89B-4688-8065-3C4BC4379860}"/>
            </c:ext>
          </c:extLst>
        </c:ser>
        <c:ser>
          <c:idx val="14"/>
          <c:order val="14"/>
          <c:tx>
            <c:strRef>
              <c:f>ETL!$AO$12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ETL!$Z$13:$Z$23</c:f>
            </c:numRef>
          </c:xVal>
          <c:yVal>
            <c:numRef>
              <c:f>ETL!$AO$13:$AO$23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E89B-4688-8065-3C4BC4379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ETL!$AR$12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773-47D9-8B5C-779F17E00B79}"/>
            </c:ext>
          </c:extLst>
        </c:ser>
        <c:ser>
          <c:idx val="1"/>
          <c:order val="1"/>
          <c:tx>
            <c:strRef>
              <c:f>ETL!$AS$12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773-47D9-8B5C-779F17E00B79}"/>
            </c:ext>
          </c:extLst>
        </c:ser>
        <c:ser>
          <c:idx val="2"/>
          <c:order val="2"/>
          <c:tx>
            <c:strRef>
              <c:f>ETL!$AT$12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773-47D9-8B5C-779F17E00B79}"/>
            </c:ext>
          </c:extLst>
        </c:ser>
        <c:ser>
          <c:idx val="3"/>
          <c:order val="3"/>
          <c:tx>
            <c:strRef>
              <c:f>ETL!$AU$12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E773-47D9-8B5C-779F17E00B79}"/>
            </c:ext>
          </c:extLst>
        </c:ser>
        <c:ser>
          <c:idx val="4"/>
          <c:order val="4"/>
          <c:tx>
            <c:strRef>
              <c:f>ETL!$AV$12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E773-47D9-8B5C-779F17E00B79}"/>
            </c:ext>
          </c:extLst>
        </c:ser>
        <c:ser>
          <c:idx val="5"/>
          <c:order val="5"/>
          <c:tx>
            <c:strRef>
              <c:f>ETL!$AW$12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E773-47D9-8B5C-779F17E00B79}"/>
            </c:ext>
          </c:extLst>
        </c:ser>
        <c:ser>
          <c:idx val="6"/>
          <c:order val="6"/>
          <c:tx>
            <c:strRef>
              <c:f>ETL!$AX$12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E773-47D9-8B5C-779F17E00B79}"/>
            </c:ext>
          </c:extLst>
        </c:ser>
        <c:ser>
          <c:idx val="7"/>
          <c:order val="7"/>
          <c:tx>
            <c:strRef>
              <c:f>ETL!$AY$12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E773-47D9-8B5C-779F17E00B79}"/>
            </c:ext>
          </c:extLst>
        </c:ser>
        <c:ser>
          <c:idx val="8"/>
          <c:order val="8"/>
          <c:tx>
            <c:strRef>
              <c:f>ETL!$AZ$12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E773-47D9-8B5C-779F17E00B79}"/>
            </c:ext>
          </c:extLst>
        </c:ser>
        <c:ser>
          <c:idx val="9"/>
          <c:order val="9"/>
          <c:tx>
            <c:strRef>
              <c:f>ETL!$BA$12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E773-47D9-8B5C-779F17E00B79}"/>
            </c:ext>
          </c:extLst>
        </c:ser>
        <c:ser>
          <c:idx val="10"/>
          <c:order val="10"/>
          <c:tx>
            <c:strRef>
              <c:f>ETL!$BB$12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E773-47D9-8B5C-779F17E00B79}"/>
            </c:ext>
          </c:extLst>
        </c:ser>
        <c:ser>
          <c:idx val="11"/>
          <c:order val="11"/>
          <c:tx>
            <c:strRef>
              <c:f>ETL!$BC$12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E773-47D9-8B5C-779F17E00B79}"/>
            </c:ext>
          </c:extLst>
        </c:ser>
        <c:ser>
          <c:idx val="12"/>
          <c:order val="12"/>
          <c:tx>
            <c:strRef>
              <c:f>ETL!$BD$12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E773-47D9-8B5C-779F17E00B79}"/>
            </c:ext>
          </c:extLst>
        </c:ser>
        <c:ser>
          <c:idx val="13"/>
          <c:order val="13"/>
          <c:tx>
            <c:strRef>
              <c:f>ETL!$BE$12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E773-47D9-8B5C-779F17E00B79}"/>
            </c:ext>
          </c:extLst>
        </c:ser>
        <c:ser>
          <c:idx val="14"/>
          <c:order val="14"/>
          <c:tx>
            <c:strRef>
              <c:f>ETL!$BF$12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ETL!$AQ$13:$AQ$23</c:f>
            </c:numRef>
          </c:xVal>
          <c:yVal>
            <c:numRef>
              <c:f>ETL!$BF$13:$BF$23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E773-47D9-8B5C-779F17E0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PBLU!$J$12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D6F-45A1-B2A4-A2D85B3162BA}"/>
            </c:ext>
          </c:extLst>
        </c:ser>
        <c:ser>
          <c:idx val="1"/>
          <c:order val="1"/>
          <c:tx>
            <c:strRef>
              <c:f>PBLU!$K$12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D6F-45A1-B2A4-A2D85B3162BA}"/>
            </c:ext>
          </c:extLst>
        </c:ser>
        <c:ser>
          <c:idx val="2"/>
          <c:order val="2"/>
          <c:tx>
            <c:strRef>
              <c:f>PBLU!$L$12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D6F-45A1-B2A4-A2D85B3162BA}"/>
            </c:ext>
          </c:extLst>
        </c:ser>
        <c:ser>
          <c:idx val="3"/>
          <c:order val="3"/>
          <c:tx>
            <c:strRef>
              <c:f>PBLU!$M$12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D6F-45A1-B2A4-A2D85B3162BA}"/>
            </c:ext>
          </c:extLst>
        </c:ser>
        <c:ser>
          <c:idx val="4"/>
          <c:order val="4"/>
          <c:tx>
            <c:strRef>
              <c:f>PBLU!$N$12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D6F-45A1-B2A4-A2D85B3162BA}"/>
            </c:ext>
          </c:extLst>
        </c:ser>
        <c:ser>
          <c:idx val="5"/>
          <c:order val="5"/>
          <c:tx>
            <c:strRef>
              <c:f>PBLU!$O$12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D6F-45A1-B2A4-A2D85B3162BA}"/>
            </c:ext>
          </c:extLst>
        </c:ser>
        <c:ser>
          <c:idx val="6"/>
          <c:order val="6"/>
          <c:tx>
            <c:strRef>
              <c:f>PBLU!$P$12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D6F-45A1-B2A4-A2D85B3162BA}"/>
            </c:ext>
          </c:extLst>
        </c:ser>
        <c:ser>
          <c:idx val="7"/>
          <c:order val="7"/>
          <c:tx>
            <c:strRef>
              <c:f>PBLU!$Q$12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D6F-45A1-B2A4-A2D85B3162BA}"/>
            </c:ext>
          </c:extLst>
        </c:ser>
        <c:ser>
          <c:idx val="8"/>
          <c:order val="8"/>
          <c:tx>
            <c:strRef>
              <c:f>PBLU!$R$12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D6F-45A1-B2A4-A2D85B3162BA}"/>
            </c:ext>
          </c:extLst>
        </c:ser>
        <c:ser>
          <c:idx val="9"/>
          <c:order val="9"/>
          <c:tx>
            <c:strRef>
              <c:f>PBLU!$S$12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D6F-45A1-B2A4-A2D85B3162BA}"/>
            </c:ext>
          </c:extLst>
        </c:ser>
        <c:ser>
          <c:idx val="10"/>
          <c:order val="10"/>
          <c:tx>
            <c:strRef>
              <c:f>PBLU!$T$12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D6F-45A1-B2A4-A2D85B3162BA}"/>
            </c:ext>
          </c:extLst>
        </c:ser>
        <c:ser>
          <c:idx val="11"/>
          <c:order val="11"/>
          <c:tx>
            <c:strRef>
              <c:f>PBLU!$U$12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D6F-45A1-B2A4-A2D85B3162BA}"/>
            </c:ext>
          </c:extLst>
        </c:ser>
        <c:ser>
          <c:idx val="12"/>
          <c:order val="12"/>
          <c:tx>
            <c:strRef>
              <c:f>PBLU!$V$12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D6F-45A1-B2A4-A2D85B3162BA}"/>
            </c:ext>
          </c:extLst>
        </c:ser>
        <c:ser>
          <c:idx val="13"/>
          <c:order val="13"/>
          <c:tx>
            <c:strRef>
              <c:f>PBLU!$W$12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D6F-45A1-B2A4-A2D85B3162BA}"/>
            </c:ext>
          </c:extLst>
        </c:ser>
        <c:ser>
          <c:idx val="14"/>
          <c:order val="14"/>
          <c:tx>
            <c:strRef>
              <c:f>PBLU!$X$12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PBLU!$I$13:$I$23</c:f>
            </c:numRef>
          </c:xVal>
          <c:yVal>
            <c:numRef>
              <c:f>PBLU!$X$13:$X$23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D6F-45A1-B2A4-A2D85B316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PTL!$J$12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A0D-4062-BB6A-6B4B39BCE1BD}"/>
            </c:ext>
          </c:extLst>
        </c:ser>
        <c:ser>
          <c:idx val="1"/>
          <c:order val="1"/>
          <c:tx>
            <c:strRef>
              <c:f>PTL!$K$12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A0D-4062-BB6A-6B4B39BCE1BD}"/>
            </c:ext>
          </c:extLst>
        </c:ser>
        <c:ser>
          <c:idx val="2"/>
          <c:order val="2"/>
          <c:tx>
            <c:strRef>
              <c:f>PTL!$L$12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A0D-4062-BB6A-6B4B39BCE1BD}"/>
            </c:ext>
          </c:extLst>
        </c:ser>
        <c:ser>
          <c:idx val="3"/>
          <c:order val="3"/>
          <c:tx>
            <c:strRef>
              <c:f>PTL!$M$12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8A0D-4062-BB6A-6B4B39BCE1BD}"/>
            </c:ext>
          </c:extLst>
        </c:ser>
        <c:ser>
          <c:idx val="4"/>
          <c:order val="4"/>
          <c:tx>
            <c:strRef>
              <c:f>PTL!$N$12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8A0D-4062-BB6A-6B4B39BCE1BD}"/>
            </c:ext>
          </c:extLst>
        </c:ser>
        <c:ser>
          <c:idx val="5"/>
          <c:order val="5"/>
          <c:tx>
            <c:strRef>
              <c:f>PTL!$O$12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8A0D-4062-BB6A-6B4B39BCE1BD}"/>
            </c:ext>
          </c:extLst>
        </c:ser>
        <c:ser>
          <c:idx val="6"/>
          <c:order val="6"/>
          <c:tx>
            <c:strRef>
              <c:f>PTL!$P$12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8A0D-4062-BB6A-6B4B39BCE1BD}"/>
            </c:ext>
          </c:extLst>
        </c:ser>
        <c:ser>
          <c:idx val="7"/>
          <c:order val="7"/>
          <c:tx>
            <c:strRef>
              <c:f>PTL!$Q$12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8A0D-4062-BB6A-6B4B39BCE1BD}"/>
            </c:ext>
          </c:extLst>
        </c:ser>
        <c:ser>
          <c:idx val="8"/>
          <c:order val="8"/>
          <c:tx>
            <c:strRef>
              <c:f>PTL!$R$12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8A0D-4062-BB6A-6B4B39BCE1BD}"/>
            </c:ext>
          </c:extLst>
        </c:ser>
        <c:ser>
          <c:idx val="9"/>
          <c:order val="9"/>
          <c:tx>
            <c:strRef>
              <c:f>PTL!$S$12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8A0D-4062-BB6A-6B4B39BCE1BD}"/>
            </c:ext>
          </c:extLst>
        </c:ser>
        <c:ser>
          <c:idx val="10"/>
          <c:order val="10"/>
          <c:tx>
            <c:strRef>
              <c:f>PTL!$T$12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8A0D-4062-BB6A-6B4B39BCE1BD}"/>
            </c:ext>
          </c:extLst>
        </c:ser>
        <c:ser>
          <c:idx val="11"/>
          <c:order val="11"/>
          <c:tx>
            <c:strRef>
              <c:f>PTL!$U$12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8A0D-4062-BB6A-6B4B39BCE1BD}"/>
            </c:ext>
          </c:extLst>
        </c:ser>
        <c:ser>
          <c:idx val="12"/>
          <c:order val="12"/>
          <c:tx>
            <c:strRef>
              <c:f>PTL!$V$12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8A0D-4062-BB6A-6B4B39BCE1BD}"/>
            </c:ext>
          </c:extLst>
        </c:ser>
        <c:ser>
          <c:idx val="13"/>
          <c:order val="13"/>
          <c:tx>
            <c:strRef>
              <c:f>PTL!$W$12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8A0D-4062-BB6A-6B4B39BCE1BD}"/>
            </c:ext>
          </c:extLst>
        </c:ser>
        <c:ser>
          <c:idx val="14"/>
          <c:order val="14"/>
          <c:tx>
            <c:strRef>
              <c:f>PTL!$X$12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PTL!$I$13:$I$23</c:f>
            </c:numRef>
          </c:xVal>
          <c:yVal>
            <c:numRef>
              <c:f>PTL!$X$13:$X$23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8A0D-4062-BB6A-6B4B39BC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PTL!$AA$12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0E5-4F15-BBC2-1227DD783908}"/>
            </c:ext>
          </c:extLst>
        </c:ser>
        <c:ser>
          <c:idx val="1"/>
          <c:order val="1"/>
          <c:tx>
            <c:strRef>
              <c:f>PTL!$AB$12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0E5-4F15-BBC2-1227DD783908}"/>
            </c:ext>
          </c:extLst>
        </c:ser>
        <c:ser>
          <c:idx val="2"/>
          <c:order val="2"/>
          <c:tx>
            <c:strRef>
              <c:f>PTL!$AC$12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0E5-4F15-BBC2-1227DD783908}"/>
            </c:ext>
          </c:extLst>
        </c:ser>
        <c:ser>
          <c:idx val="3"/>
          <c:order val="3"/>
          <c:tx>
            <c:strRef>
              <c:f>PTL!$AD$12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0E5-4F15-BBC2-1227DD783908}"/>
            </c:ext>
          </c:extLst>
        </c:ser>
        <c:ser>
          <c:idx val="4"/>
          <c:order val="4"/>
          <c:tx>
            <c:strRef>
              <c:f>PTL!$AE$12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0E5-4F15-BBC2-1227DD783908}"/>
            </c:ext>
          </c:extLst>
        </c:ser>
        <c:ser>
          <c:idx val="5"/>
          <c:order val="5"/>
          <c:tx>
            <c:strRef>
              <c:f>PTL!$AF$12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60E5-4F15-BBC2-1227DD783908}"/>
            </c:ext>
          </c:extLst>
        </c:ser>
        <c:ser>
          <c:idx val="6"/>
          <c:order val="6"/>
          <c:tx>
            <c:strRef>
              <c:f>PTL!$AG$12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60E5-4F15-BBC2-1227DD783908}"/>
            </c:ext>
          </c:extLst>
        </c:ser>
        <c:ser>
          <c:idx val="7"/>
          <c:order val="7"/>
          <c:tx>
            <c:strRef>
              <c:f>PTL!$AH$12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60E5-4F15-BBC2-1227DD783908}"/>
            </c:ext>
          </c:extLst>
        </c:ser>
        <c:ser>
          <c:idx val="8"/>
          <c:order val="8"/>
          <c:tx>
            <c:strRef>
              <c:f>PTL!$AI$12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60E5-4F15-BBC2-1227DD783908}"/>
            </c:ext>
          </c:extLst>
        </c:ser>
        <c:ser>
          <c:idx val="9"/>
          <c:order val="9"/>
          <c:tx>
            <c:strRef>
              <c:f>PTL!$AJ$12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60E5-4F15-BBC2-1227DD783908}"/>
            </c:ext>
          </c:extLst>
        </c:ser>
        <c:ser>
          <c:idx val="10"/>
          <c:order val="10"/>
          <c:tx>
            <c:strRef>
              <c:f>PTL!$AK$12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60E5-4F15-BBC2-1227DD783908}"/>
            </c:ext>
          </c:extLst>
        </c:ser>
        <c:ser>
          <c:idx val="11"/>
          <c:order val="11"/>
          <c:tx>
            <c:strRef>
              <c:f>PTL!$AL$12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60E5-4F15-BBC2-1227DD783908}"/>
            </c:ext>
          </c:extLst>
        </c:ser>
        <c:ser>
          <c:idx val="12"/>
          <c:order val="12"/>
          <c:tx>
            <c:strRef>
              <c:f>PTL!$AM$12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60E5-4F15-BBC2-1227DD783908}"/>
            </c:ext>
          </c:extLst>
        </c:ser>
        <c:ser>
          <c:idx val="13"/>
          <c:order val="13"/>
          <c:tx>
            <c:strRef>
              <c:f>PTL!$AN$12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60E5-4F15-BBC2-1227DD783908}"/>
            </c:ext>
          </c:extLst>
        </c:ser>
        <c:ser>
          <c:idx val="14"/>
          <c:order val="14"/>
          <c:tx>
            <c:strRef>
              <c:f>PTL!$AO$12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PTL!$Z$13:$Z$23</c:f>
            </c:numRef>
          </c:xVal>
          <c:yVal>
            <c:numRef>
              <c:f>PTL!$AO$13:$AO$23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60E5-4F15-BBC2-1227DD78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PTL!$AR$12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4CC-4FDF-8B1C-D7FCFDD98516}"/>
            </c:ext>
          </c:extLst>
        </c:ser>
        <c:ser>
          <c:idx val="1"/>
          <c:order val="1"/>
          <c:tx>
            <c:strRef>
              <c:f>PTL!$AS$12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4CC-4FDF-8B1C-D7FCFDD98516}"/>
            </c:ext>
          </c:extLst>
        </c:ser>
        <c:ser>
          <c:idx val="2"/>
          <c:order val="2"/>
          <c:tx>
            <c:strRef>
              <c:f>PTL!$AT$12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4CC-4FDF-8B1C-D7FCFDD98516}"/>
            </c:ext>
          </c:extLst>
        </c:ser>
        <c:ser>
          <c:idx val="3"/>
          <c:order val="3"/>
          <c:tx>
            <c:strRef>
              <c:f>PTL!$AU$12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E4CC-4FDF-8B1C-D7FCFDD98516}"/>
            </c:ext>
          </c:extLst>
        </c:ser>
        <c:ser>
          <c:idx val="4"/>
          <c:order val="4"/>
          <c:tx>
            <c:strRef>
              <c:f>PTL!$AV$12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E4CC-4FDF-8B1C-D7FCFDD98516}"/>
            </c:ext>
          </c:extLst>
        </c:ser>
        <c:ser>
          <c:idx val="5"/>
          <c:order val="5"/>
          <c:tx>
            <c:strRef>
              <c:f>PTL!$AW$12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E4CC-4FDF-8B1C-D7FCFDD98516}"/>
            </c:ext>
          </c:extLst>
        </c:ser>
        <c:ser>
          <c:idx val="6"/>
          <c:order val="6"/>
          <c:tx>
            <c:strRef>
              <c:f>PTL!$AX$12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E4CC-4FDF-8B1C-D7FCFDD98516}"/>
            </c:ext>
          </c:extLst>
        </c:ser>
        <c:ser>
          <c:idx val="7"/>
          <c:order val="7"/>
          <c:tx>
            <c:strRef>
              <c:f>PTL!$AY$12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E4CC-4FDF-8B1C-D7FCFDD98516}"/>
            </c:ext>
          </c:extLst>
        </c:ser>
        <c:ser>
          <c:idx val="8"/>
          <c:order val="8"/>
          <c:tx>
            <c:strRef>
              <c:f>PTL!$AZ$12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E4CC-4FDF-8B1C-D7FCFDD98516}"/>
            </c:ext>
          </c:extLst>
        </c:ser>
        <c:ser>
          <c:idx val="9"/>
          <c:order val="9"/>
          <c:tx>
            <c:strRef>
              <c:f>PTL!$BA$12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E4CC-4FDF-8B1C-D7FCFDD98516}"/>
            </c:ext>
          </c:extLst>
        </c:ser>
        <c:ser>
          <c:idx val="10"/>
          <c:order val="10"/>
          <c:tx>
            <c:strRef>
              <c:f>PTL!$BB$12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E4CC-4FDF-8B1C-D7FCFDD98516}"/>
            </c:ext>
          </c:extLst>
        </c:ser>
        <c:ser>
          <c:idx val="11"/>
          <c:order val="11"/>
          <c:tx>
            <c:strRef>
              <c:f>PTL!$BC$12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E4CC-4FDF-8B1C-D7FCFDD98516}"/>
            </c:ext>
          </c:extLst>
        </c:ser>
        <c:ser>
          <c:idx val="12"/>
          <c:order val="12"/>
          <c:tx>
            <c:strRef>
              <c:f>PTL!$BD$12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E4CC-4FDF-8B1C-D7FCFDD98516}"/>
            </c:ext>
          </c:extLst>
        </c:ser>
        <c:ser>
          <c:idx val="13"/>
          <c:order val="13"/>
          <c:tx>
            <c:strRef>
              <c:f>PTL!$BE$12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E4CC-4FDF-8B1C-D7FCFDD98516}"/>
            </c:ext>
          </c:extLst>
        </c:ser>
        <c:ser>
          <c:idx val="14"/>
          <c:order val="14"/>
          <c:tx>
            <c:strRef>
              <c:f>PTL!$BF$12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PTL!$AQ$13:$AQ$23</c:f>
            </c:numRef>
          </c:xVal>
          <c:yVal>
            <c:numRef>
              <c:f>PTL!$BF$13:$BF$23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E4CC-4FDF-8B1C-D7FCFDD98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FPL!$J$12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08E-4F3F-B1F7-D5F93BAC34BF}"/>
            </c:ext>
          </c:extLst>
        </c:ser>
        <c:ser>
          <c:idx val="1"/>
          <c:order val="1"/>
          <c:tx>
            <c:strRef>
              <c:f>FPL!$K$12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08E-4F3F-B1F7-D5F93BAC34BF}"/>
            </c:ext>
          </c:extLst>
        </c:ser>
        <c:ser>
          <c:idx val="2"/>
          <c:order val="2"/>
          <c:tx>
            <c:strRef>
              <c:f>FPL!$L$12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108E-4F3F-B1F7-D5F93BAC34BF}"/>
            </c:ext>
          </c:extLst>
        </c:ser>
        <c:ser>
          <c:idx val="3"/>
          <c:order val="3"/>
          <c:tx>
            <c:strRef>
              <c:f>FPL!$M$12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108E-4F3F-B1F7-D5F93BAC34BF}"/>
            </c:ext>
          </c:extLst>
        </c:ser>
        <c:ser>
          <c:idx val="4"/>
          <c:order val="4"/>
          <c:tx>
            <c:strRef>
              <c:f>FPL!$N$12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08E-4F3F-B1F7-D5F93BAC34BF}"/>
            </c:ext>
          </c:extLst>
        </c:ser>
        <c:ser>
          <c:idx val="5"/>
          <c:order val="5"/>
          <c:tx>
            <c:strRef>
              <c:f>FPL!$O$12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108E-4F3F-B1F7-D5F93BAC34BF}"/>
            </c:ext>
          </c:extLst>
        </c:ser>
        <c:ser>
          <c:idx val="6"/>
          <c:order val="6"/>
          <c:tx>
            <c:strRef>
              <c:f>FPL!$P$12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108E-4F3F-B1F7-D5F93BAC34BF}"/>
            </c:ext>
          </c:extLst>
        </c:ser>
        <c:ser>
          <c:idx val="7"/>
          <c:order val="7"/>
          <c:tx>
            <c:strRef>
              <c:f>FPL!$Q$12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108E-4F3F-B1F7-D5F93BAC34BF}"/>
            </c:ext>
          </c:extLst>
        </c:ser>
        <c:ser>
          <c:idx val="8"/>
          <c:order val="8"/>
          <c:tx>
            <c:strRef>
              <c:f>FPL!$R$12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08E-4F3F-B1F7-D5F93BAC34BF}"/>
            </c:ext>
          </c:extLst>
        </c:ser>
        <c:ser>
          <c:idx val="9"/>
          <c:order val="9"/>
          <c:tx>
            <c:strRef>
              <c:f>FPL!$S$12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108E-4F3F-B1F7-D5F93BAC34BF}"/>
            </c:ext>
          </c:extLst>
        </c:ser>
        <c:ser>
          <c:idx val="10"/>
          <c:order val="10"/>
          <c:tx>
            <c:strRef>
              <c:f>FPL!$T$12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108E-4F3F-B1F7-D5F93BAC34BF}"/>
            </c:ext>
          </c:extLst>
        </c:ser>
        <c:ser>
          <c:idx val="11"/>
          <c:order val="11"/>
          <c:tx>
            <c:strRef>
              <c:f>FPL!$U$12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108E-4F3F-B1F7-D5F93BAC34BF}"/>
            </c:ext>
          </c:extLst>
        </c:ser>
        <c:ser>
          <c:idx val="12"/>
          <c:order val="12"/>
          <c:tx>
            <c:strRef>
              <c:f>FPL!$V$12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108E-4F3F-B1F7-D5F93BAC34BF}"/>
            </c:ext>
          </c:extLst>
        </c:ser>
        <c:ser>
          <c:idx val="13"/>
          <c:order val="13"/>
          <c:tx>
            <c:strRef>
              <c:f>FPL!$W$12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108E-4F3F-B1F7-D5F93BAC34BF}"/>
            </c:ext>
          </c:extLst>
        </c:ser>
        <c:ser>
          <c:idx val="14"/>
          <c:order val="14"/>
          <c:tx>
            <c:strRef>
              <c:f>FPL!$X$12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FPL!$I$13:$I$23</c:f>
            </c:numRef>
          </c:xVal>
          <c:yVal>
            <c:numRef>
              <c:f>FPL!$X$13:$X$23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108E-4F3F-B1F7-D5F93BAC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FPL!$AA$12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6C9-4BA8-9A1E-E92CE875D310}"/>
            </c:ext>
          </c:extLst>
        </c:ser>
        <c:ser>
          <c:idx val="1"/>
          <c:order val="1"/>
          <c:tx>
            <c:strRef>
              <c:f>FPL!$AB$12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6C9-4BA8-9A1E-E92CE875D310}"/>
            </c:ext>
          </c:extLst>
        </c:ser>
        <c:ser>
          <c:idx val="2"/>
          <c:order val="2"/>
          <c:tx>
            <c:strRef>
              <c:f>FPL!$AC$12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6C9-4BA8-9A1E-E92CE875D310}"/>
            </c:ext>
          </c:extLst>
        </c:ser>
        <c:ser>
          <c:idx val="3"/>
          <c:order val="3"/>
          <c:tx>
            <c:strRef>
              <c:f>FPL!$AD$12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36C9-4BA8-9A1E-E92CE875D310}"/>
            </c:ext>
          </c:extLst>
        </c:ser>
        <c:ser>
          <c:idx val="4"/>
          <c:order val="4"/>
          <c:tx>
            <c:strRef>
              <c:f>FPL!$AE$12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36C9-4BA8-9A1E-E92CE875D310}"/>
            </c:ext>
          </c:extLst>
        </c:ser>
        <c:ser>
          <c:idx val="5"/>
          <c:order val="5"/>
          <c:tx>
            <c:strRef>
              <c:f>FPL!$AF$12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36C9-4BA8-9A1E-E92CE875D310}"/>
            </c:ext>
          </c:extLst>
        </c:ser>
        <c:ser>
          <c:idx val="6"/>
          <c:order val="6"/>
          <c:tx>
            <c:strRef>
              <c:f>FPL!$AG$12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36C9-4BA8-9A1E-E92CE875D310}"/>
            </c:ext>
          </c:extLst>
        </c:ser>
        <c:ser>
          <c:idx val="7"/>
          <c:order val="7"/>
          <c:tx>
            <c:strRef>
              <c:f>FPL!$AH$12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6C9-4BA8-9A1E-E92CE875D310}"/>
            </c:ext>
          </c:extLst>
        </c:ser>
        <c:ser>
          <c:idx val="8"/>
          <c:order val="8"/>
          <c:tx>
            <c:strRef>
              <c:f>FPL!$AI$12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36C9-4BA8-9A1E-E92CE875D310}"/>
            </c:ext>
          </c:extLst>
        </c:ser>
        <c:ser>
          <c:idx val="9"/>
          <c:order val="9"/>
          <c:tx>
            <c:strRef>
              <c:f>FPL!$AJ$12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6C9-4BA8-9A1E-E92CE875D310}"/>
            </c:ext>
          </c:extLst>
        </c:ser>
        <c:ser>
          <c:idx val="10"/>
          <c:order val="10"/>
          <c:tx>
            <c:strRef>
              <c:f>FPL!$AK$12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36C9-4BA8-9A1E-E92CE875D310}"/>
            </c:ext>
          </c:extLst>
        </c:ser>
        <c:ser>
          <c:idx val="11"/>
          <c:order val="11"/>
          <c:tx>
            <c:strRef>
              <c:f>FPL!$AL$12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36C9-4BA8-9A1E-E92CE875D310}"/>
            </c:ext>
          </c:extLst>
        </c:ser>
        <c:ser>
          <c:idx val="12"/>
          <c:order val="12"/>
          <c:tx>
            <c:strRef>
              <c:f>FPL!$AM$12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36C9-4BA8-9A1E-E92CE875D310}"/>
            </c:ext>
          </c:extLst>
        </c:ser>
        <c:ser>
          <c:idx val="13"/>
          <c:order val="13"/>
          <c:tx>
            <c:strRef>
              <c:f>FPL!$AN$12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6C9-4BA8-9A1E-E92CE875D310}"/>
            </c:ext>
          </c:extLst>
        </c:ser>
        <c:ser>
          <c:idx val="14"/>
          <c:order val="14"/>
          <c:tx>
            <c:strRef>
              <c:f>FPL!$AO$12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FPL!$Z$13:$Z$23</c:f>
            </c:numRef>
          </c:xVal>
          <c:yVal>
            <c:numRef>
              <c:f>FPL!$AO$13:$AO$23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36C9-4BA8-9A1E-E92CE875D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FPL!$AR$12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1B3-4995-9BBB-AE59FB18587E}"/>
            </c:ext>
          </c:extLst>
        </c:ser>
        <c:ser>
          <c:idx val="1"/>
          <c:order val="1"/>
          <c:tx>
            <c:strRef>
              <c:f>FPL!$AS$12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1B3-4995-9BBB-AE59FB18587E}"/>
            </c:ext>
          </c:extLst>
        </c:ser>
        <c:ser>
          <c:idx val="2"/>
          <c:order val="2"/>
          <c:tx>
            <c:strRef>
              <c:f>FPL!$AT$12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51B3-4995-9BBB-AE59FB18587E}"/>
            </c:ext>
          </c:extLst>
        </c:ser>
        <c:ser>
          <c:idx val="3"/>
          <c:order val="3"/>
          <c:tx>
            <c:strRef>
              <c:f>FPL!$AU$12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51B3-4995-9BBB-AE59FB18587E}"/>
            </c:ext>
          </c:extLst>
        </c:ser>
        <c:ser>
          <c:idx val="4"/>
          <c:order val="4"/>
          <c:tx>
            <c:strRef>
              <c:f>FPL!$AV$12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1B3-4995-9BBB-AE59FB18587E}"/>
            </c:ext>
          </c:extLst>
        </c:ser>
        <c:ser>
          <c:idx val="5"/>
          <c:order val="5"/>
          <c:tx>
            <c:strRef>
              <c:f>FPL!$AW$12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51B3-4995-9BBB-AE59FB18587E}"/>
            </c:ext>
          </c:extLst>
        </c:ser>
        <c:ser>
          <c:idx val="6"/>
          <c:order val="6"/>
          <c:tx>
            <c:strRef>
              <c:f>FPL!$AX$12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51B3-4995-9BBB-AE59FB18587E}"/>
            </c:ext>
          </c:extLst>
        </c:ser>
        <c:ser>
          <c:idx val="7"/>
          <c:order val="7"/>
          <c:tx>
            <c:strRef>
              <c:f>FPL!$AY$12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51B3-4995-9BBB-AE59FB18587E}"/>
            </c:ext>
          </c:extLst>
        </c:ser>
        <c:ser>
          <c:idx val="8"/>
          <c:order val="8"/>
          <c:tx>
            <c:strRef>
              <c:f>FPL!$AZ$12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51B3-4995-9BBB-AE59FB18587E}"/>
            </c:ext>
          </c:extLst>
        </c:ser>
        <c:ser>
          <c:idx val="9"/>
          <c:order val="9"/>
          <c:tx>
            <c:strRef>
              <c:f>FPL!$BA$12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51B3-4995-9BBB-AE59FB18587E}"/>
            </c:ext>
          </c:extLst>
        </c:ser>
        <c:ser>
          <c:idx val="10"/>
          <c:order val="10"/>
          <c:tx>
            <c:strRef>
              <c:f>FPL!$BB$12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51B3-4995-9BBB-AE59FB18587E}"/>
            </c:ext>
          </c:extLst>
        </c:ser>
        <c:ser>
          <c:idx val="11"/>
          <c:order val="11"/>
          <c:tx>
            <c:strRef>
              <c:f>FPL!$BC$12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51B3-4995-9BBB-AE59FB18587E}"/>
            </c:ext>
          </c:extLst>
        </c:ser>
        <c:ser>
          <c:idx val="12"/>
          <c:order val="12"/>
          <c:tx>
            <c:strRef>
              <c:f>FPL!$BD$12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51B3-4995-9BBB-AE59FB18587E}"/>
            </c:ext>
          </c:extLst>
        </c:ser>
        <c:ser>
          <c:idx val="13"/>
          <c:order val="13"/>
          <c:tx>
            <c:strRef>
              <c:f>FPL!$BE$12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51B3-4995-9BBB-AE59FB18587E}"/>
            </c:ext>
          </c:extLst>
        </c:ser>
        <c:ser>
          <c:idx val="14"/>
          <c:order val="14"/>
          <c:tx>
            <c:strRef>
              <c:f>FPL!$BF$12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FPL!$AQ$13:$AQ$23</c:f>
            </c:numRef>
          </c:xVal>
          <c:yVal>
            <c:numRef>
              <c:f>FPL!$BF$13:$BF$23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51B3-4995-9BBB-AE59FB18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'RCL S'!$J$12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7F3-45D6-B919-E1D657E8BF0D}"/>
            </c:ext>
          </c:extLst>
        </c:ser>
        <c:ser>
          <c:idx val="1"/>
          <c:order val="1"/>
          <c:tx>
            <c:strRef>
              <c:f>'RCL S'!$K$12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7F3-45D6-B919-E1D657E8BF0D}"/>
            </c:ext>
          </c:extLst>
        </c:ser>
        <c:ser>
          <c:idx val="2"/>
          <c:order val="2"/>
          <c:tx>
            <c:strRef>
              <c:f>'RCL S'!$L$12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D7F3-45D6-B919-E1D657E8BF0D}"/>
            </c:ext>
          </c:extLst>
        </c:ser>
        <c:ser>
          <c:idx val="3"/>
          <c:order val="3"/>
          <c:tx>
            <c:strRef>
              <c:f>'RCL S'!$M$12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D7F3-45D6-B919-E1D657E8BF0D}"/>
            </c:ext>
          </c:extLst>
        </c:ser>
        <c:ser>
          <c:idx val="4"/>
          <c:order val="4"/>
          <c:tx>
            <c:strRef>
              <c:f>'RCL S'!$N$12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7F3-45D6-B919-E1D657E8BF0D}"/>
            </c:ext>
          </c:extLst>
        </c:ser>
        <c:ser>
          <c:idx val="5"/>
          <c:order val="5"/>
          <c:tx>
            <c:strRef>
              <c:f>'RCL S'!$O$12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D7F3-45D6-B919-E1D657E8BF0D}"/>
            </c:ext>
          </c:extLst>
        </c:ser>
        <c:ser>
          <c:idx val="6"/>
          <c:order val="6"/>
          <c:tx>
            <c:strRef>
              <c:f>'RCL S'!$P$12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D7F3-45D6-B919-E1D657E8BF0D}"/>
            </c:ext>
          </c:extLst>
        </c:ser>
        <c:ser>
          <c:idx val="7"/>
          <c:order val="7"/>
          <c:tx>
            <c:strRef>
              <c:f>'RCL S'!$Q$12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D7F3-45D6-B919-E1D657E8BF0D}"/>
            </c:ext>
          </c:extLst>
        </c:ser>
        <c:ser>
          <c:idx val="8"/>
          <c:order val="8"/>
          <c:tx>
            <c:strRef>
              <c:f>'RCL S'!$R$12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D7F3-45D6-B919-E1D657E8BF0D}"/>
            </c:ext>
          </c:extLst>
        </c:ser>
        <c:ser>
          <c:idx val="9"/>
          <c:order val="9"/>
          <c:tx>
            <c:strRef>
              <c:f>'RCL S'!$S$12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D7F3-45D6-B919-E1D657E8BF0D}"/>
            </c:ext>
          </c:extLst>
        </c:ser>
        <c:ser>
          <c:idx val="10"/>
          <c:order val="10"/>
          <c:tx>
            <c:strRef>
              <c:f>'RCL S'!$T$12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D7F3-45D6-B919-E1D657E8BF0D}"/>
            </c:ext>
          </c:extLst>
        </c:ser>
        <c:ser>
          <c:idx val="11"/>
          <c:order val="11"/>
          <c:tx>
            <c:strRef>
              <c:f>'RCL S'!$U$12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D7F3-45D6-B919-E1D657E8BF0D}"/>
            </c:ext>
          </c:extLst>
        </c:ser>
        <c:ser>
          <c:idx val="12"/>
          <c:order val="12"/>
          <c:tx>
            <c:strRef>
              <c:f>'RCL S'!$V$12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D7F3-45D6-B919-E1D657E8BF0D}"/>
            </c:ext>
          </c:extLst>
        </c:ser>
        <c:ser>
          <c:idx val="13"/>
          <c:order val="13"/>
          <c:tx>
            <c:strRef>
              <c:f>'RCL S'!$W$12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D7F3-45D6-B919-E1D657E8BF0D}"/>
            </c:ext>
          </c:extLst>
        </c:ser>
        <c:ser>
          <c:idx val="14"/>
          <c:order val="14"/>
          <c:tx>
            <c:strRef>
              <c:f>'RCL S'!$X$12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S'!$I$13:$I$23</c:f>
            </c:numRef>
          </c:xVal>
          <c:yVal>
            <c:numRef>
              <c:f>'RCL S'!$X$13:$X$23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D7F3-45D6-B919-E1D657E8B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'RCL S'!$AA$12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B59-4827-9D64-5D545B0603E8}"/>
            </c:ext>
          </c:extLst>
        </c:ser>
        <c:ser>
          <c:idx val="1"/>
          <c:order val="1"/>
          <c:tx>
            <c:strRef>
              <c:f>'RCL S'!$AB$12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B59-4827-9D64-5D545B0603E8}"/>
            </c:ext>
          </c:extLst>
        </c:ser>
        <c:ser>
          <c:idx val="2"/>
          <c:order val="2"/>
          <c:tx>
            <c:strRef>
              <c:f>'RCL S'!$AC$12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B59-4827-9D64-5D545B0603E8}"/>
            </c:ext>
          </c:extLst>
        </c:ser>
        <c:ser>
          <c:idx val="3"/>
          <c:order val="3"/>
          <c:tx>
            <c:strRef>
              <c:f>'RCL S'!$AD$12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B59-4827-9D64-5D545B0603E8}"/>
            </c:ext>
          </c:extLst>
        </c:ser>
        <c:ser>
          <c:idx val="4"/>
          <c:order val="4"/>
          <c:tx>
            <c:strRef>
              <c:f>'RCL S'!$AE$12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B59-4827-9D64-5D545B0603E8}"/>
            </c:ext>
          </c:extLst>
        </c:ser>
        <c:ser>
          <c:idx val="5"/>
          <c:order val="5"/>
          <c:tx>
            <c:strRef>
              <c:f>'RCL S'!$AF$12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AB59-4827-9D64-5D545B0603E8}"/>
            </c:ext>
          </c:extLst>
        </c:ser>
        <c:ser>
          <c:idx val="6"/>
          <c:order val="6"/>
          <c:tx>
            <c:strRef>
              <c:f>'RCL S'!$AG$12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AB59-4827-9D64-5D545B0603E8}"/>
            </c:ext>
          </c:extLst>
        </c:ser>
        <c:ser>
          <c:idx val="7"/>
          <c:order val="7"/>
          <c:tx>
            <c:strRef>
              <c:f>'RCL S'!$AH$12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AB59-4827-9D64-5D545B0603E8}"/>
            </c:ext>
          </c:extLst>
        </c:ser>
        <c:ser>
          <c:idx val="8"/>
          <c:order val="8"/>
          <c:tx>
            <c:strRef>
              <c:f>'RCL S'!$AI$12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AB59-4827-9D64-5D545B0603E8}"/>
            </c:ext>
          </c:extLst>
        </c:ser>
        <c:ser>
          <c:idx val="9"/>
          <c:order val="9"/>
          <c:tx>
            <c:strRef>
              <c:f>'RCL S'!$AJ$12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AB59-4827-9D64-5D545B0603E8}"/>
            </c:ext>
          </c:extLst>
        </c:ser>
        <c:ser>
          <c:idx val="10"/>
          <c:order val="10"/>
          <c:tx>
            <c:strRef>
              <c:f>'RCL S'!$AK$12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AB59-4827-9D64-5D545B0603E8}"/>
            </c:ext>
          </c:extLst>
        </c:ser>
        <c:ser>
          <c:idx val="11"/>
          <c:order val="11"/>
          <c:tx>
            <c:strRef>
              <c:f>'RCL S'!$AL$12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AB59-4827-9D64-5D545B0603E8}"/>
            </c:ext>
          </c:extLst>
        </c:ser>
        <c:ser>
          <c:idx val="12"/>
          <c:order val="12"/>
          <c:tx>
            <c:strRef>
              <c:f>'RCL S'!$AM$12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AB59-4827-9D64-5D545B0603E8}"/>
            </c:ext>
          </c:extLst>
        </c:ser>
        <c:ser>
          <c:idx val="13"/>
          <c:order val="13"/>
          <c:tx>
            <c:strRef>
              <c:f>'RCL S'!$AN$12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AB59-4827-9D64-5D545B0603E8}"/>
            </c:ext>
          </c:extLst>
        </c:ser>
        <c:ser>
          <c:idx val="14"/>
          <c:order val="14"/>
          <c:tx>
            <c:strRef>
              <c:f>'RCL S'!$AO$12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S'!$Z$13:$Z$23</c:f>
            </c:numRef>
          </c:xVal>
          <c:yVal>
            <c:numRef>
              <c:f>'RCL S'!$AO$13:$AO$23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AB59-4827-9D64-5D545B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'RCL S'!$AR$12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6C4-4B5F-AE5A-22D35722040D}"/>
            </c:ext>
          </c:extLst>
        </c:ser>
        <c:ser>
          <c:idx val="1"/>
          <c:order val="1"/>
          <c:tx>
            <c:strRef>
              <c:f>'RCL S'!$AS$12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6C4-4B5F-AE5A-22D35722040D}"/>
            </c:ext>
          </c:extLst>
        </c:ser>
        <c:ser>
          <c:idx val="2"/>
          <c:order val="2"/>
          <c:tx>
            <c:strRef>
              <c:f>'RCL S'!$AT$12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6C4-4B5F-AE5A-22D35722040D}"/>
            </c:ext>
          </c:extLst>
        </c:ser>
        <c:ser>
          <c:idx val="3"/>
          <c:order val="3"/>
          <c:tx>
            <c:strRef>
              <c:f>'RCL S'!$AU$12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6C4-4B5F-AE5A-22D35722040D}"/>
            </c:ext>
          </c:extLst>
        </c:ser>
        <c:ser>
          <c:idx val="4"/>
          <c:order val="4"/>
          <c:tx>
            <c:strRef>
              <c:f>'RCL S'!$AV$12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6C4-4B5F-AE5A-22D35722040D}"/>
            </c:ext>
          </c:extLst>
        </c:ser>
        <c:ser>
          <c:idx val="5"/>
          <c:order val="5"/>
          <c:tx>
            <c:strRef>
              <c:f>'RCL S'!$AW$12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6C4-4B5F-AE5A-22D35722040D}"/>
            </c:ext>
          </c:extLst>
        </c:ser>
        <c:ser>
          <c:idx val="6"/>
          <c:order val="6"/>
          <c:tx>
            <c:strRef>
              <c:f>'RCL S'!$AX$12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6C4-4B5F-AE5A-22D35722040D}"/>
            </c:ext>
          </c:extLst>
        </c:ser>
        <c:ser>
          <c:idx val="7"/>
          <c:order val="7"/>
          <c:tx>
            <c:strRef>
              <c:f>'RCL S'!$AY$12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6C4-4B5F-AE5A-22D35722040D}"/>
            </c:ext>
          </c:extLst>
        </c:ser>
        <c:ser>
          <c:idx val="8"/>
          <c:order val="8"/>
          <c:tx>
            <c:strRef>
              <c:f>'RCL S'!$AZ$12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6C4-4B5F-AE5A-22D35722040D}"/>
            </c:ext>
          </c:extLst>
        </c:ser>
        <c:ser>
          <c:idx val="9"/>
          <c:order val="9"/>
          <c:tx>
            <c:strRef>
              <c:f>'RCL S'!$BA$12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6C4-4B5F-AE5A-22D35722040D}"/>
            </c:ext>
          </c:extLst>
        </c:ser>
        <c:ser>
          <c:idx val="10"/>
          <c:order val="10"/>
          <c:tx>
            <c:strRef>
              <c:f>'RCL S'!$BB$12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6C4-4B5F-AE5A-22D35722040D}"/>
            </c:ext>
          </c:extLst>
        </c:ser>
        <c:ser>
          <c:idx val="11"/>
          <c:order val="11"/>
          <c:tx>
            <c:strRef>
              <c:f>'RCL S'!$BC$12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6C4-4B5F-AE5A-22D35722040D}"/>
            </c:ext>
          </c:extLst>
        </c:ser>
        <c:ser>
          <c:idx val="12"/>
          <c:order val="12"/>
          <c:tx>
            <c:strRef>
              <c:f>'RCL S'!$BD$12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6C4-4B5F-AE5A-22D35722040D}"/>
            </c:ext>
          </c:extLst>
        </c:ser>
        <c:ser>
          <c:idx val="13"/>
          <c:order val="13"/>
          <c:tx>
            <c:strRef>
              <c:f>'RCL S'!$BE$12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6C4-4B5F-AE5A-22D35722040D}"/>
            </c:ext>
          </c:extLst>
        </c:ser>
        <c:ser>
          <c:idx val="14"/>
          <c:order val="14"/>
          <c:tx>
            <c:strRef>
              <c:f>'RCL S'!$BF$12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'RCL S'!$AQ$13:$AQ$23</c:f>
            </c:numRef>
          </c:xVal>
          <c:yVal>
            <c:numRef>
              <c:f>'RCL S'!$BF$13:$BF$23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6C4-4B5F-AE5A-22D35722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'ECL N'!$J$12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06D-4E4E-B5AA-EB43F6BC5748}"/>
            </c:ext>
          </c:extLst>
        </c:ser>
        <c:ser>
          <c:idx val="1"/>
          <c:order val="1"/>
          <c:tx>
            <c:strRef>
              <c:f>'ECL N'!$K$12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706D-4E4E-B5AA-EB43F6BC5748}"/>
            </c:ext>
          </c:extLst>
        </c:ser>
        <c:ser>
          <c:idx val="2"/>
          <c:order val="2"/>
          <c:tx>
            <c:strRef>
              <c:f>'ECL N'!$L$12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706D-4E4E-B5AA-EB43F6BC5748}"/>
            </c:ext>
          </c:extLst>
        </c:ser>
        <c:ser>
          <c:idx val="3"/>
          <c:order val="3"/>
          <c:tx>
            <c:strRef>
              <c:f>'ECL N'!$M$12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706D-4E4E-B5AA-EB43F6BC5748}"/>
            </c:ext>
          </c:extLst>
        </c:ser>
        <c:ser>
          <c:idx val="4"/>
          <c:order val="4"/>
          <c:tx>
            <c:strRef>
              <c:f>'ECL N'!$N$12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706D-4E4E-B5AA-EB43F6BC5748}"/>
            </c:ext>
          </c:extLst>
        </c:ser>
        <c:ser>
          <c:idx val="5"/>
          <c:order val="5"/>
          <c:tx>
            <c:strRef>
              <c:f>'ECL N'!$O$12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706D-4E4E-B5AA-EB43F6BC5748}"/>
            </c:ext>
          </c:extLst>
        </c:ser>
        <c:ser>
          <c:idx val="6"/>
          <c:order val="6"/>
          <c:tx>
            <c:strRef>
              <c:f>'ECL N'!$P$12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706D-4E4E-B5AA-EB43F6BC5748}"/>
            </c:ext>
          </c:extLst>
        </c:ser>
        <c:ser>
          <c:idx val="7"/>
          <c:order val="7"/>
          <c:tx>
            <c:strRef>
              <c:f>'ECL N'!$Q$12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706D-4E4E-B5AA-EB43F6BC5748}"/>
            </c:ext>
          </c:extLst>
        </c:ser>
        <c:ser>
          <c:idx val="8"/>
          <c:order val="8"/>
          <c:tx>
            <c:strRef>
              <c:f>'ECL N'!$R$12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706D-4E4E-B5AA-EB43F6BC5748}"/>
            </c:ext>
          </c:extLst>
        </c:ser>
        <c:ser>
          <c:idx val="9"/>
          <c:order val="9"/>
          <c:tx>
            <c:strRef>
              <c:f>'ECL N'!$S$12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706D-4E4E-B5AA-EB43F6BC5748}"/>
            </c:ext>
          </c:extLst>
        </c:ser>
        <c:ser>
          <c:idx val="10"/>
          <c:order val="10"/>
          <c:tx>
            <c:strRef>
              <c:f>'ECL N'!$T$12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706D-4E4E-B5AA-EB43F6BC5748}"/>
            </c:ext>
          </c:extLst>
        </c:ser>
        <c:ser>
          <c:idx val="11"/>
          <c:order val="11"/>
          <c:tx>
            <c:strRef>
              <c:f>'ECL N'!$U$12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706D-4E4E-B5AA-EB43F6BC5748}"/>
            </c:ext>
          </c:extLst>
        </c:ser>
        <c:ser>
          <c:idx val="12"/>
          <c:order val="12"/>
          <c:tx>
            <c:strRef>
              <c:f>'ECL N'!$V$12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706D-4E4E-B5AA-EB43F6BC5748}"/>
            </c:ext>
          </c:extLst>
        </c:ser>
        <c:ser>
          <c:idx val="13"/>
          <c:order val="13"/>
          <c:tx>
            <c:strRef>
              <c:f>'ECL N'!$W$12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706D-4E4E-B5AA-EB43F6BC5748}"/>
            </c:ext>
          </c:extLst>
        </c:ser>
        <c:ser>
          <c:idx val="14"/>
          <c:order val="14"/>
          <c:tx>
            <c:strRef>
              <c:f>'ECL N'!$X$12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N'!$I$13:$I$23</c:f>
            </c:numRef>
          </c:xVal>
          <c:yVal>
            <c:numRef>
              <c:f>'ECL N'!$X$13:$X$23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706D-4E4E-B5AA-EB43F6BC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PBLU!$AA$12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CB9-41B4-8FED-A76929A13D4E}"/>
            </c:ext>
          </c:extLst>
        </c:ser>
        <c:ser>
          <c:idx val="1"/>
          <c:order val="1"/>
          <c:tx>
            <c:strRef>
              <c:f>PBLU!$AB$12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4CB9-41B4-8FED-A76929A13D4E}"/>
            </c:ext>
          </c:extLst>
        </c:ser>
        <c:ser>
          <c:idx val="2"/>
          <c:order val="2"/>
          <c:tx>
            <c:strRef>
              <c:f>PBLU!$AC$12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4CB9-41B4-8FED-A76929A13D4E}"/>
            </c:ext>
          </c:extLst>
        </c:ser>
        <c:ser>
          <c:idx val="3"/>
          <c:order val="3"/>
          <c:tx>
            <c:strRef>
              <c:f>PBLU!$AD$12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4CB9-41B4-8FED-A76929A13D4E}"/>
            </c:ext>
          </c:extLst>
        </c:ser>
        <c:ser>
          <c:idx val="4"/>
          <c:order val="4"/>
          <c:tx>
            <c:strRef>
              <c:f>PBLU!$AE$12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CB9-41B4-8FED-A76929A13D4E}"/>
            </c:ext>
          </c:extLst>
        </c:ser>
        <c:ser>
          <c:idx val="5"/>
          <c:order val="5"/>
          <c:tx>
            <c:strRef>
              <c:f>PBLU!$AF$12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4CB9-41B4-8FED-A76929A13D4E}"/>
            </c:ext>
          </c:extLst>
        </c:ser>
        <c:ser>
          <c:idx val="6"/>
          <c:order val="6"/>
          <c:tx>
            <c:strRef>
              <c:f>PBLU!$AG$12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4CB9-41B4-8FED-A76929A13D4E}"/>
            </c:ext>
          </c:extLst>
        </c:ser>
        <c:ser>
          <c:idx val="7"/>
          <c:order val="7"/>
          <c:tx>
            <c:strRef>
              <c:f>PBLU!$AH$12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4CB9-41B4-8FED-A76929A13D4E}"/>
            </c:ext>
          </c:extLst>
        </c:ser>
        <c:ser>
          <c:idx val="8"/>
          <c:order val="8"/>
          <c:tx>
            <c:strRef>
              <c:f>PBLU!$AI$12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4CB9-41B4-8FED-A76929A13D4E}"/>
            </c:ext>
          </c:extLst>
        </c:ser>
        <c:ser>
          <c:idx val="9"/>
          <c:order val="9"/>
          <c:tx>
            <c:strRef>
              <c:f>PBLU!$AJ$12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4CB9-41B4-8FED-A76929A13D4E}"/>
            </c:ext>
          </c:extLst>
        </c:ser>
        <c:ser>
          <c:idx val="10"/>
          <c:order val="10"/>
          <c:tx>
            <c:strRef>
              <c:f>PBLU!$AK$12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4CB9-41B4-8FED-A76929A13D4E}"/>
            </c:ext>
          </c:extLst>
        </c:ser>
        <c:ser>
          <c:idx val="11"/>
          <c:order val="11"/>
          <c:tx>
            <c:strRef>
              <c:f>PBLU!$AL$12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CB9-41B4-8FED-A76929A13D4E}"/>
            </c:ext>
          </c:extLst>
        </c:ser>
        <c:ser>
          <c:idx val="12"/>
          <c:order val="12"/>
          <c:tx>
            <c:strRef>
              <c:f>PBLU!$AM$12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4CB9-41B4-8FED-A76929A13D4E}"/>
            </c:ext>
          </c:extLst>
        </c:ser>
        <c:ser>
          <c:idx val="13"/>
          <c:order val="13"/>
          <c:tx>
            <c:strRef>
              <c:f>PBLU!$AN$12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4CB9-41B4-8FED-A76929A13D4E}"/>
            </c:ext>
          </c:extLst>
        </c:ser>
        <c:ser>
          <c:idx val="14"/>
          <c:order val="14"/>
          <c:tx>
            <c:strRef>
              <c:f>PBLU!$AO$12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PBLU!$Z$13:$Z$23</c:f>
            </c:numRef>
          </c:xVal>
          <c:yVal>
            <c:numRef>
              <c:f>PBLU!$AO$13:$AO$23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4CB9-41B4-8FED-A76929A13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'ECL N'!$AA$12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5B2-4BEA-9017-E96BD64989E2}"/>
            </c:ext>
          </c:extLst>
        </c:ser>
        <c:ser>
          <c:idx val="1"/>
          <c:order val="1"/>
          <c:tx>
            <c:strRef>
              <c:f>'ECL N'!$AB$12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B5B2-4BEA-9017-E96BD64989E2}"/>
            </c:ext>
          </c:extLst>
        </c:ser>
        <c:ser>
          <c:idx val="2"/>
          <c:order val="2"/>
          <c:tx>
            <c:strRef>
              <c:f>'ECL N'!$AC$12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B5B2-4BEA-9017-E96BD64989E2}"/>
            </c:ext>
          </c:extLst>
        </c:ser>
        <c:ser>
          <c:idx val="3"/>
          <c:order val="3"/>
          <c:tx>
            <c:strRef>
              <c:f>'ECL N'!$AD$12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B5B2-4BEA-9017-E96BD64989E2}"/>
            </c:ext>
          </c:extLst>
        </c:ser>
        <c:ser>
          <c:idx val="4"/>
          <c:order val="4"/>
          <c:tx>
            <c:strRef>
              <c:f>'ECL N'!$AE$12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B5B2-4BEA-9017-E96BD64989E2}"/>
            </c:ext>
          </c:extLst>
        </c:ser>
        <c:ser>
          <c:idx val="5"/>
          <c:order val="5"/>
          <c:tx>
            <c:strRef>
              <c:f>'ECL N'!$AF$12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B5B2-4BEA-9017-E96BD64989E2}"/>
            </c:ext>
          </c:extLst>
        </c:ser>
        <c:ser>
          <c:idx val="6"/>
          <c:order val="6"/>
          <c:tx>
            <c:strRef>
              <c:f>'ECL N'!$AG$12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B5B2-4BEA-9017-E96BD64989E2}"/>
            </c:ext>
          </c:extLst>
        </c:ser>
        <c:ser>
          <c:idx val="7"/>
          <c:order val="7"/>
          <c:tx>
            <c:strRef>
              <c:f>'ECL N'!$AH$12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B5B2-4BEA-9017-E96BD64989E2}"/>
            </c:ext>
          </c:extLst>
        </c:ser>
        <c:ser>
          <c:idx val="8"/>
          <c:order val="8"/>
          <c:tx>
            <c:strRef>
              <c:f>'ECL N'!$AI$12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B5B2-4BEA-9017-E96BD64989E2}"/>
            </c:ext>
          </c:extLst>
        </c:ser>
        <c:ser>
          <c:idx val="9"/>
          <c:order val="9"/>
          <c:tx>
            <c:strRef>
              <c:f>'ECL N'!$AJ$12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B5B2-4BEA-9017-E96BD64989E2}"/>
            </c:ext>
          </c:extLst>
        </c:ser>
        <c:ser>
          <c:idx val="10"/>
          <c:order val="10"/>
          <c:tx>
            <c:strRef>
              <c:f>'ECL N'!$AK$12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5B2-4BEA-9017-E96BD64989E2}"/>
            </c:ext>
          </c:extLst>
        </c:ser>
        <c:ser>
          <c:idx val="11"/>
          <c:order val="11"/>
          <c:tx>
            <c:strRef>
              <c:f>'ECL N'!$AL$12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B5B2-4BEA-9017-E96BD64989E2}"/>
            </c:ext>
          </c:extLst>
        </c:ser>
        <c:ser>
          <c:idx val="12"/>
          <c:order val="12"/>
          <c:tx>
            <c:strRef>
              <c:f>'ECL N'!$AM$12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B5B2-4BEA-9017-E96BD64989E2}"/>
            </c:ext>
          </c:extLst>
        </c:ser>
        <c:ser>
          <c:idx val="13"/>
          <c:order val="13"/>
          <c:tx>
            <c:strRef>
              <c:f>'ECL N'!$AN$12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B5B2-4BEA-9017-E96BD64989E2}"/>
            </c:ext>
          </c:extLst>
        </c:ser>
        <c:ser>
          <c:idx val="14"/>
          <c:order val="14"/>
          <c:tx>
            <c:strRef>
              <c:f>'ECL N'!$AO$12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N'!$Z$13:$Z$23</c:f>
            </c:numRef>
          </c:xVal>
          <c:yVal>
            <c:numRef>
              <c:f>'ECL N'!$AO$13:$AO$23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B5B2-4BEA-9017-E96BD649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'ECL N'!$AR$12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FFD-41C5-A3E8-CBEE476B7F54}"/>
            </c:ext>
          </c:extLst>
        </c:ser>
        <c:ser>
          <c:idx val="1"/>
          <c:order val="1"/>
          <c:tx>
            <c:strRef>
              <c:f>'ECL N'!$AS$12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FFD-41C5-A3E8-CBEE476B7F54}"/>
            </c:ext>
          </c:extLst>
        </c:ser>
        <c:ser>
          <c:idx val="2"/>
          <c:order val="2"/>
          <c:tx>
            <c:strRef>
              <c:f>'ECL N'!$AT$12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FFD-41C5-A3E8-CBEE476B7F54}"/>
            </c:ext>
          </c:extLst>
        </c:ser>
        <c:ser>
          <c:idx val="3"/>
          <c:order val="3"/>
          <c:tx>
            <c:strRef>
              <c:f>'ECL N'!$AU$12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FFD-41C5-A3E8-CBEE476B7F54}"/>
            </c:ext>
          </c:extLst>
        </c:ser>
        <c:ser>
          <c:idx val="4"/>
          <c:order val="4"/>
          <c:tx>
            <c:strRef>
              <c:f>'ECL N'!$AV$12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FFD-41C5-A3E8-CBEE476B7F54}"/>
            </c:ext>
          </c:extLst>
        </c:ser>
        <c:ser>
          <c:idx val="5"/>
          <c:order val="5"/>
          <c:tx>
            <c:strRef>
              <c:f>'ECL N'!$AW$12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AFFD-41C5-A3E8-CBEE476B7F54}"/>
            </c:ext>
          </c:extLst>
        </c:ser>
        <c:ser>
          <c:idx val="6"/>
          <c:order val="6"/>
          <c:tx>
            <c:strRef>
              <c:f>'ECL N'!$AX$12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AFFD-41C5-A3E8-CBEE476B7F54}"/>
            </c:ext>
          </c:extLst>
        </c:ser>
        <c:ser>
          <c:idx val="7"/>
          <c:order val="7"/>
          <c:tx>
            <c:strRef>
              <c:f>'ECL N'!$AY$12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AFFD-41C5-A3E8-CBEE476B7F54}"/>
            </c:ext>
          </c:extLst>
        </c:ser>
        <c:ser>
          <c:idx val="8"/>
          <c:order val="8"/>
          <c:tx>
            <c:strRef>
              <c:f>'ECL N'!$AZ$12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AFFD-41C5-A3E8-CBEE476B7F54}"/>
            </c:ext>
          </c:extLst>
        </c:ser>
        <c:ser>
          <c:idx val="9"/>
          <c:order val="9"/>
          <c:tx>
            <c:strRef>
              <c:f>'ECL N'!$BA$12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AFFD-41C5-A3E8-CBEE476B7F54}"/>
            </c:ext>
          </c:extLst>
        </c:ser>
        <c:ser>
          <c:idx val="10"/>
          <c:order val="10"/>
          <c:tx>
            <c:strRef>
              <c:f>'ECL N'!$BB$12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AFFD-41C5-A3E8-CBEE476B7F54}"/>
            </c:ext>
          </c:extLst>
        </c:ser>
        <c:ser>
          <c:idx val="11"/>
          <c:order val="11"/>
          <c:tx>
            <c:strRef>
              <c:f>'ECL N'!$BC$12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AFFD-41C5-A3E8-CBEE476B7F54}"/>
            </c:ext>
          </c:extLst>
        </c:ser>
        <c:ser>
          <c:idx val="12"/>
          <c:order val="12"/>
          <c:tx>
            <c:strRef>
              <c:f>'ECL N'!$BD$12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AFFD-41C5-A3E8-CBEE476B7F54}"/>
            </c:ext>
          </c:extLst>
        </c:ser>
        <c:ser>
          <c:idx val="13"/>
          <c:order val="13"/>
          <c:tx>
            <c:strRef>
              <c:f>'ECL N'!$BE$12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AFFD-41C5-A3E8-CBEE476B7F54}"/>
            </c:ext>
          </c:extLst>
        </c:ser>
        <c:ser>
          <c:idx val="14"/>
          <c:order val="14"/>
          <c:tx>
            <c:strRef>
              <c:f>'ECL N'!$BF$12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'ECL N'!$AQ$13:$AQ$23</c:f>
            </c:numRef>
          </c:xVal>
          <c:yVal>
            <c:numRef>
              <c:f>'ECL N'!$BF$13:$BF$23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AFFD-41C5-A3E8-CBEE476B7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EWL!$J$12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CAB-4830-9DEE-C22CD9C5ADC0}"/>
            </c:ext>
          </c:extLst>
        </c:ser>
        <c:ser>
          <c:idx val="1"/>
          <c:order val="1"/>
          <c:tx>
            <c:strRef>
              <c:f>EWL!$K$12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CAB-4830-9DEE-C22CD9C5ADC0}"/>
            </c:ext>
          </c:extLst>
        </c:ser>
        <c:ser>
          <c:idx val="2"/>
          <c:order val="2"/>
          <c:tx>
            <c:strRef>
              <c:f>EWL!$L$12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CAB-4830-9DEE-C22CD9C5ADC0}"/>
            </c:ext>
          </c:extLst>
        </c:ser>
        <c:ser>
          <c:idx val="3"/>
          <c:order val="3"/>
          <c:tx>
            <c:strRef>
              <c:f>EWL!$M$12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CAB-4830-9DEE-C22CD9C5ADC0}"/>
            </c:ext>
          </c:extLst>
        </c:ser>
        <c:ser>
          <c:idx val="4"/>
          <c:order val="4"/>
          <c:tx>
            <c:strRef>
              <c:f>EWL!$N$12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CAB-4830-9DEE-C22CD9C5ADC0}"/>
            </c:ext>
          </c:extLst>
        </c:ser>
        <c:ser>
          <c:idx val="5"/>
          <c:order val="5"/>
          <c:tx>
            <c:strRef>
              <c:f>EWL!$O$12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6CAB-4830-9DEE-C22CD9C5ADC0}"/>
            </c:ext>
          </c:extLst>
        </c:ser>
        <c:ser>
          <c:idx val="6"/>
          <c:order val="6"/>
          <c:tx>
            <c:strRef>
              <c:f>EWL!$P$12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6CAB-4830-9DEE-C22CD9C5ADC0}"/>
            </c:ext>
          </c:extLst>
        </c:ser>
        <c:ser>
          <c:idx val="7"/>
          <c:order val="7"/>
          <c:tx>
            <c:strRef>
              <c:f>EWL!$Q$12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6CAB-4830-9DEE-C22CD9C5ADC0}"/>
            </c:ext>
          </c:extLst>
        </c:ser>
        <c:ser>
          <c:idx val="8"/>
          <c:order val="8"/>
          <c:tx>
            <c:strRef>
              <c:f>EWL!$R$12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6CAB-4830-9DEE-C22CD9C5ADC0}"/>
            </c:ext>
          </c:extLst>
        </c:ser>
        <c:ser>
          <c:idx val="9"/>
          <c:order val="9"/>
          <c:tx>
            <c:strRef>
              <c:f>EWL!$S$12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6CAB-4830-9DEE-C22CD9C5ADC0}"/>
            </c:ext>
          </c:extLst>
        </c:ser>
        <c:ser>
          <c:idx val="10"/>
          <c:order val="10"/>
          <c:tx>
            <c:strRef>
              <c:f>EWL!$T$12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6CAB-4830-9DEE-C22CD9C5ADC0}"/>
            </c:ext>
          </c:extLst>
        </c:ser>
        <c:ser>
          <c:idx val="11"/>
          <c:order val="11"/>
          <c:tx>
            <c:strRef>
              <c:f>EWL!$U$12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6CAB-4830-9DEE-C22CD9C5ADC0}"/>
            </c:ext>
          </c:extLst>
        </c:ser>
        <c:ser>
          <c:idx val="12"/>
          <c:order val="12"/>
          <c:tx>
            <c:strRef>
              <c:f>EWL!$V$12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6CAB-4830-9DEE-C22CD9C5ADC0}"/>
            </c:ext>
          </c:extLst>
        </c:ser>
        <c:ser>
          <c:idx val="13"/>
          <c:order val="13"/>
          <c:tx>
            <c:strRef>
              <c:f>EWL!$W$12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6CAB-4830-9DEE-C22CD9C5ADC0}"/>
            </c:ext>
          </c:extLst>
        </c:ser>
        <c:ser>
          <c:idx val="14"/>
          <c:order val="14"/>
          <c:tx>
            <c:strRef>
              <c:f>EWL!$X$12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EWL!$I$13:$I$23</c:f>
            </c:numRef>
          </c:xVal>
          <c:yVal>
            <c:numRef>
              <c:f>EWL!$X$13:$X$23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6CAB-4830-9DEE-C22CD9C5A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EWL!$AA$12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C2B-452E-93F0-ED9770212428}"/>
            </c:ext>
          </c:extLst>
        </c:ser>
        <c:ser>
          <c:idx val="1"/>
          <c:order val="1"/>
          <c:tx>
            <c:strRef>
              <c:f>EWL!$AB$12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C2B-452E-93F0-ED9770212428}"/>
            </c:ext>
          </c:extLst>
        </c:ser>
        <c:ser>
          <c:idx val="2"/>
          <c:order val="2"/>
          <c:tx>
            <c:strRef>
              <c:f>EWL!$AC$12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C2B-452E-93F0-ED9770212428}"/>
            </c:ext>
          </c:extLst>
        </c:ser>
        <c:ser>
          <c:idx val="3"/>
          <c:order val="3"/>
          <c:tx>
            <c:strRef>
              <c:f>EWL!$AD$12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8C2B-452E-93F0-ED9770212428}"/>
            </c:ext>
          </c:extLst>
        </c:ser>
        <c:ser>
          <c:idx val="4"/>
          <c:order val="4"/>
          <c:tx>
            <c:strRef>
              <c:f>EWL!$AE$12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8C2B-452E-93F0-ED9770212428}"/>
            </c:ext>
          </c:extLst>
        </c:ser>
        <c:ser>
          <c:idx val="5"/>
          <c:order val="5"/>
          <c:tx>
            <c:strRef>
              <c:f>EWL!$AF$12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8C2B-452E-93F0-ED9770212428}"/>
            </c:ext>
          </c:extLst>
        </c:ser>
        <c:ser>
          <c:idx val="6"/>
          <c:order val="6"/>
          <c:tx>
            <c:strRef>
              <c:f>EWL!$AG$12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8C2B-452E-93F0-ED9770212428}"/>
            </c:ext>
          </c:extLst>
        </c:ser>
        <c:ser>
          <c:idx val="7"/>
          <c:order val="7"/>
          <c:tx>
            <c:strRef>
              <c:f>EWL!$AH$12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8C2B-452E-93F0-ED9770212428}"/>
            </c:ext>
          </c:extLst>
        </c:ser>
        <c:ser>
          <c:idx val="8"/>
          <c:order val="8"/>
          <c:tx>
            <c:strRef>
              <c:f>EWL!$AI$12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8C2B-452E-93F0-ED9770212428}"/>
            </c:ext>
          </c:extLst>
        </c:ser>
        <c:ser>
          <c:idx val="9"/>
          <c:order val="9"/>
          <c:tx>
            <c:strRef>
              <c:f>EWL!$AJ$12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8C2B-452E-93F0-ED9770212428}"/>
            </c:ext>
          </c:extLst>
        </c:ser>
        <c:ser>
          <c:idx val="10"/>
          <c:order val="10"/>
          <c:tx>
            <c:strRef>
              <c:f>EWL!$AK$12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8C2B-452E-93F0-ED9770212428}"/>
            </c:ext>
          </c:extLst>
        </c:ser>
        <c:ser>
          <c:idx val="11"/>
          <c:order val="11"/>
          <c:tx>
            <c:strRef>
              <c:f>EWL!$AL$12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8C2B-452E-93F0-ED9770212428}"/>
            </c:ext>
          </c:extLst>
        </c:ser>
        <c:ser>
          <c:idx val="12"/>
          <c:order val="12"/>
          <c:tx>
            <c:strRef>
              <c:f>EWL!$AM$12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8C2B-452E-93F0-ED9770212428}"/>
            </c:ext>
          </c:extLst>
        </c:ser>
        <c:ser>
          <c:idx val="13"/>
          <c:order val="13"/>
          <c:tx>
            <c:strRef>
              <c:f>EWL!$AN$12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8C2B-452E-93F0-ED9770212428}"/>
            </c:ext>
          </c:extLst>
        </c:ser>
        <c:ser>
          <c:idx val="14"/>
          <c:order val="14"/>
          <c:tx>
            <c:strRef>
              <c:f>EWL!$AO$12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EWL!$Z$13:$Z$23</c:f>
            </c:numRef>
          </c:xVal>
          <c:yVal>
            <c:numRef>
              <c:f>EWL!$AO$13:$AO$23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8C2B-452E-93F0-ED977021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EWL!$AR$12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7D0-43E3-8CE3-E3417F211B5A}"/>
            </c:ext>
          </c:extLst>
        </c:ser>
        <c:ser>
          <c:idx val="1"/>
          <c:order val="1"/>
          <c:tx>
            <c:strRef>
              <c:f>EWL!$AS$12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7D0-43E3-8CE3-E3417F211B5A}"/>
            </c:ext>
          </c:extLst>
        </c:ser>
        <c:ser>
          <c:idx val="2"/>
          <c:order val="2"/>
          <c:tx>
            <c:strRef>
              <c:f>EWL!$AT$12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7D0-43E3-8CE3-E3417F211B5A}"/>
            </c:ext>
          </c:extLst>
        </c:ser>
        <c:ser>
          <c:idx val="3"/>
          <c:order val="3"/>
          <c:tx>
            <c:strRef>
              <c:f>EWL!$AU$12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C7D0-43E3-8CE3-E3417F211B5A}"/>
            </c:ext>
          </c:extLst>
        </c:ser>
        <c:ser>
          <c:idx val="4"/>
          <c:order val="4"/>
          <c:tx>
            <c:strRef>
              <c:f>EWL!$AV$12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C7D0-43E3-8CE3-E3417F211B5A}"/>
            </c:ext>
          </c:extLst>
        </c:ser>
        <c:ser>
          <c:idx val="5"/>
          <c:order val="5"/>
          <c:tx>
            <c:strRef>
              <c:f>EWL!$AW$12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7D0-43E3-8CE3-E3417F211B5A}"/>
            </c:ext>
          </c:extLst>
        </c:ser>
        <c:ser>
          <c:idx val="6"/>
          <c:order val="6"/>
          <c:tx>
            <c:strRef>
              <c:f>EWL!$AX$12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C7D0-43E3-8CE3-E3417F211B5A}"/>
            </c:ext>
          </c:extLst>
        </c:ser>
        <c:ser>
          <c:idx val="7"/>
          <c:order val="7"/>
          <c:tx>
            <c:strRef>
              <c:f>EWL!$AY$12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C7D0-43E3-8CE3-E3417F211B5A}"/>
            </c:ext>
          </c:extLst>
        </c:ser>
        <c:ser>
          <c:idx val="8"/>
          <c:order val="8"/>
          <c:tx>
            <c:strRef>
              <c:f>EWL!$AZ$12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C7D0-43E3-8CE3-E3417F211B5A}"/>
            </c:ext>
          </c:extLst>
        </c:ser>
        <c:ser>
          <c:idx val="9"/>
          <c:order val="9"/>
          <c:tx>
            <c:strRef>
              <c:f>EWL!$BA$12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C7D0-43E3-8CE3-E3417F211B5A}"/>
            </c:ext>
          </c:extLst>
        </c:ser>
        <c:ser>
          <c:idx val="10"/>
          <c:order val="10"/>
          <c:tx>
            <c:strRef>
              <c:f>EWL!$BB$12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C7D0-43E3-8CE3-E3417F211B5A}"/>
            </c:ext>
          </c:extLst>
        </c:ser>
        <c:ser>
          <c:idx val="11"/>
          <c:order val="11"/>
          <c:tx>
            <c:strRef>
              <c:f>EWL!$BC$12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7D0-43E3-8CE3-E3417F211B5A}"/>
            </c:ext>
          </c:extLst>
        </c:ser>
        <c:ser>
          <c:idx val="12"/>
          <c:order val="12"/>
          <c:tx>
            <c:strRef>
              <c:f>EWL!$BD$12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C7D0-43E3-8CE3-E3417F211B5A}"/>
            </c:ext>
          </c:extLst>
        </c:ser>
        <c:ser>
          <c:idx val="13"/>
          <c:order val="13"/>
          <c:tx>
            <c:strRef>
              <c:f>EWL!$BE$12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7D0-43E3-8CE3-E3417F211B5A}"/>
            </c:ext>
          </c:extLst>
        </c:ser>
        <c:ser>
          <c:idx val="14"/>
          <c:order val="14"/>
          <c:tx>
            <c:strRef>
              <c:f>EWL!$BF$12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EWL!$AQ$13:$AQ$23</c:f>
            </c:numRef>
          </c:xVal>
          <c:yVal>
            <c:numRef>
              <c:f>EWL!$BF$13:$BF$23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7D0-43E3-8CE3-E3417F21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PBLU!$AR$12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PBLU!$AR$13:$AR$23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CE3-4BD4-8E39-3F6DB67A40F0}"/>
            </c:ext>
          </c:extLst>
        </c:ser>
        <c:ser>
          <c:idx val="1"/>
          <c:order val="1"/>
          <c:tx>
            <c:strRef>
              <c:f>PBLU!$AS$12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PBLU!$AS$13:$AS$23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CE3-4BD4-8E39-3F6DB67A40F0}"/>
            </c:ext>
          </c:extLst>
        </c:ser>
        <c:ser>
          <c:idx val="2"/>
          <c:order val="2"/>
          <c:tx>
            <c:strRef>
              <c:f>PBLU!$AT$12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PBLU!$AT$13:$AT$23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1CE3-4BD4-8E39-3F6DB67A40F0}"/>
            </c:ext>
          </c:extLst>
        </c:ser>
        <c:ser>
          <c:idx val="3"/>
          <c:order val="3"/>
          <c:tx>
            <c:strRef>
              <c:f>PBLU!$AU$12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PBLU!$AU$13:$AU$23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1CE3-4BD4-8E39-3F6DB67A40F0}"/>
            </c:ext>
          </c:extLst>
        </c:ser>
        <c:ser>
          <c:idx val="4"/>
          <c:order val="4"/>
          <c:tx>
            <c:strRef>
              <c:f>PBLU!$AV$12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PBLU!$AV$13:$AV$23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CE3-4BD4-8E39-3F6DB67A40F0}"/>
            </c:ext>
          </c:extLst>
        </c:ser>
        <c:ser>
          <c:idx val="5"/>
          <c:order val="5"/>
          <c:tx>
            <c:strRef>
              <c:f>PBLU!$AW$12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PBLU!$AW$13:$AW$23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1CE3-4BD4-8E39-3F6DB67A40F0}"/>
            </c:ext>
          </c:extLst>
        </c:ser>
        <c:ser>
          <c:idx val="6"/>
          <c:order val="6"/>
          <c:tx>
            <c:strRef>
              <c:f>PBLU!$AX$12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PBLU!$AX$13:$AX$23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1CE3-4BD4-8E39-3F6DB67A40F0}"/>
            </c:ext>
          </c:extLst>
        </c:ser>
        <c:ser>
          <c:idx val="7"/>
          <c:order val="7"/>
          <c:tx>
            <c:strRef>
              <c:f>PBLU!$AY$12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PBLU!$AY$13:$AY$23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1CE3-4BD4-8E39-3F6DB67A40F0}"/>
            </c:ext>
          </c:extLst>
        </c:ser>
        <c:ser>
          <c:idx val="8"/>
          <c:order val="8"/>
          <c:tx>
            <c:strRef>
              <c:f>PBLU!$AZ$12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PBLU!$AZ$13:$AZ$23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CE3-4BD4-8E39-3F6DB67A40F0}"/>
            </c:ext>
          </c:extLst>
        </c:ser>
        <c:ser>
          <c:idx val="9"/>
          <c:order val="9"/>
          <c:tx>
            <c:strRef>
              <c:f>PBLU!$BA$12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PBLU!$BA$13:$BA$23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1CE3-4BD4-8E39-3F6DB67A40F0}"/>
            </c:ext>
          </c:extLst>
        </c:ser>
        <c:ser>
          <c:idx val="10"/>
          <c:order val="10"/>
          <c:tx>
            <c:strRef>
              <c:f>PBLU!$BB$12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PBLU!$BB$13:$BB$23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1CE3-4BD4-8E39-3F6DB67A40F0}"/>
            </c:ext>
          </c:extLst>
        </c:ser>
        <c:ser>
          <c:idx val="11"/>
          <c:order val="11"/>
          <c:tx>
            <c:strRef>
              <c:f>PBLU!$BC$12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PBLU!$BC$13:$BC$23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1CE3-4BD4-8E39-3F6DB67A40F0}"/>
            </c:ext>
          </c:extLst>
        </c:ser>
        <c:ser>
          <c:idx val="12"/>
          <c:order val="12"/>
          <c:tx>
            <c:strRef>
              <c:f>PBLU!$BD$12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PBLU!$BD$13:$BD$23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1CE3-4BD4-8E39-3F6DB67A40F0}"/>
            </c:ext>
          </c:extLst>
        </c:ser>
        <c:ser>
          <c:idx val="13"/>
          <c:order val="13"/>
          <c:tx>
            <c:strRef>
              <c:f>PBLU!$BE$12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PBLU!$BE$13:$BE$23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1CE3-4BD4-8E39-3F6DB67A40F0}"/>
            </c:ext>
          </c:extLst>
        </c:ser>
        <c:ser>
          <c:idx val="14"/>
          <c:order val="14"/>
          <c:tx>
            <c:strRef>
              <c:f>PBLU!$BF$12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PBLU!$AQ$13:$AQ$23</c:f>
            </c:numRef>
          </c:xVal>
          <c:yVal>
            <c:numRef>
              <c:f>PBLU!$BF$13:$BF$23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1CE3-4BD4-8E39-3F6DB67A4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PBLX!$J$12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9817172510712919"/>
                  <c:y val="-0.301945593058879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PBLX!$J$13:$J$23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1E9-4056-997A-1829E6551ED4}"/>
            </c:ext>
          </c:extLst>
        </c:ser>
        <c:ser>
          <c:idx val="1"/>
          <c:order val="1"/>
          <c:tx>
            <c:strRef>
              <c:f>PBLX!$K$12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PBLX!$K$13:$K$23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51E9-4056-997A-1829E6551ED4}"/>
            </c:ext>
          </c:extLst>
        </c:ser>
        <c:ser>
          <c:idx val="2"/>
          <c:order val="2"/>
          <c:tx>
            <c:strRef>
              <c:f>PBLX!$L$12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PBLX!$L$13:$L$23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51E9-4056-997A-1829E6551ED4}"/>
            </c:ext>
          </c:extLst>
        </c:ser>
        <c:ser>
          <c:idx val="3"/>
          <c:order val="3"/>
          <c:tx>
            <c:strRef>
              <c:f>PBLX!$M$12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PBLX!$M$13:$M$23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1E9-4056-997A-1829E6551ED4}"/>
            </c:ext>
          </c:extLst>
        </c:ser>
        <c:ser>
          <c:idx val="4"/>
          <c:order val="4"/>
          <c:tx>
            <c:strRef>
              <c:f>PBLX!$N$12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137769998745504"/>
                  <c:y val="-0.341079491071970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PBLX!$N$13:$N$23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1E9-4056-997A-1829E6551ED4}"/>
            </c:ext>
          </c:extLst>
        </c:ser>
        <c:ser>
          <c:idx val="5"/>
          <c:order val="5"/>
          <c:tx>
            <c:strRef>
              <c:f>PBLX!$O$12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3173834031881596"/>
                  <c:y val="-0.363115421834175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PBLX!$O$13:$O$23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51E9-4056-997A-1829E6551ED4}"/>
            </c:ext>
          </c:extLst>
        </c:ser>
        <c:ser>
          <c:idx val="6"/>
          <c:order val="6"/>
          <c:tx>
            <c:strRef>
              <c:f>PBLX!$P$12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PBLX!$P$13:$P$23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51E9-4056-997A-1829E6551ED4}"/>
            </c:ext>
          </c:extLst>
        </c:ser>
        <c:ser>
          <c:idx val="7"/>
          <c:order val="7"/>
          <c:tx>
            <c:strRef>
              <c:f>PBLX!$Q$12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0628090409979982"/>
                  <c:y val="-0.318522584237344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PBLX!$Q$13:$Q$23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51E9-4056-997A-1829E6551ED4}"/>
            </c:ext>
          </c:extLst>
        </c:ser>
        <c:ser>
          <c:idx val="8"/>
          <c:order val="8"/>
          <c:tx>
            <c:strRef>
              <c:f>PBLX!$R$12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PBLX!$R$13:$R$23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51E9-4056-997A-1829E6551ED4}"/>
            </c:ext>
          </c:extLst>
        </c:ser>
        <c:ser>
          <c:idx val="9"/>
          <c:order val="9"/>
          <c:tx>
            <c:strRef>
              <c:f>PBLX!$S$12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PBLX!$S$13:$S$23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51E9-4056-997A-1829E6551ED4}"/>
            </c:ext>
          </c:extLst>
        </c:ser>
        <c:ser>
          <c:idx val="10"/>
          <c:order val="10"/>
          <c:tx>
            <c:strRef>
              <c:f>PBLX!$T$12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PBLX!$T$13:$T$23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51E9-4056-997A-1829E6551ED4}"/>
            </c:ext>
          </c:extLst>
        </c:ser>
        <c:ser>
          <c:idx val="11"/>
          <c:order val="11"/>
          <c:tx>
            <c:strRef>
              <c:f>PBLX!$U$12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PBLX!$U$13:$U$23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51E9-4056-997A-1829E6551ED4}"/>
            </c:ext>
          </c:extLst>
        </c:ser>
        <c:ser>
          <c:idx val="12"/>
          <c:order val="12"/>
          <c:tx>
            <c:strRef>
              <c:f>PBLX!$V$12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PBLX!$V$13:$V$23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51E9-4056-997A-1829E6551ED4}"/>
            </c:ext>
          </c:extLst>
        </c:ser>
        <c:ser>
          <c:idx val="13"/>
          <c:order val="13"/>
          <c:tx>
            <c:strRef>
              <c:f>PBLX!$W$12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PBLX!$W$13:$W$23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51E9-4056-997A-1829E6551ED4}"/>
            </c:ext>
          </c:extLst>
        </c:ser>
        <c:ser>
          <c:idx val="14"/>
          <c:order val="14"/>
          <c:tx>
            <c:strRef>
              <c:f>PBLX!$X$12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PBLX!$I$13:$I$23</c:f>
            </c:numRef>
          </c:xVal>
          <c:yVal>
            <c:numRef>
              <c:f>PBLX!$X$13:$X$23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51E9-4056-997A-1829E655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PBLX!$AA$12</c:f>
              <c:strCache>
                <c:ptCount val="1"/>
                <c:pt idx="0">
                  <c:v>CU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31492218604935907"/>
                  <c:y val="-0.29496368434881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PBLX!$AA$13:$AA$23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4C5-43A7-8496-BC08C26BAA00}"/>
            </c:ext>
          </c:extLst>
        </c:ser>
        <c:ser>
          <c:idx val="1"/>
          <c:order val="1"/>
          <c:tx>
            <c:strRef>
              <c:f>PBLX!$AB$12</c:f>
              <c:strCache>
                <c:ptCount val="1"/>
                <c:pt idx="0">
                  <c:v>CU1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5.8048879148976627E-3"/>
                  <c:y val="-0.21022141366040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PBLX!$AB$13:$AB$23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14C5-43A7-8496-BC08C26BAA00}"/>
            </c:ext>
          </c:extLst>
        </c:ser>
        <c:ser>
          <c:idx val="2"/>
          <c:order val="2"/>
          <c:tx>
            <c:strRef>
              <c:f>PBLX!$AC$12</c:f>
              <c:strCache>
                <c:ptCount val="1"/>
                <c:pt idx="0">
                  <c:v>CU2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494995450569077"/>
                  <c:y val="-0.271054723493962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PBLX!$AC$13:$AC$23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14C5-43A7-8496-BC08C26BAA00}"/>
            </c:ext>
          </c:extLst>
        </c:ser>
        <c:ser>
          <c:idx val="3"/>
          <c:order val="3"/>
          <c:tx>
            <c:strRef>
              <c:f>PBLX!$AD$12</c:f>
              <c:strCache>
                <c:ptCount val="1"/>
                <c:pt idx="0">
                  <c:v>CU3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701157381541572"/>
                  <c:y val="-0.21363586823558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PBLX!$AD$13:$AD$23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4C5-43A7-8496-BC08C26BAA00}"/>
            </c:ext>
          </c:extLst>
        </c:ser>
        <c:ser>
          <c:idx val="4"/>
          <c:order val="4"/>
          <c:tx>
            <c:strRef>
              <c:f>PBLX!$AE$12</c:f>
              <c:strCache>
                <c:ptCount val="1"/>
                <c:pt idx="0">
                  <c:v>CU4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15381935557885479"/>
                  <c:y val="-0.25829015089907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PBLX!$AE$13:$AE$23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4C5-43A7-8496-BC08C26BAA00}"/>
            </c:ext>
          </c:extLst>
        </c:ser>
        <c:ser>
          <c:idx val="5"/>
          <c:order val="5"/>
          <c:tx>
            <c:strRef>
              <c:f>PBLX!$AF$12</c:f>
              <c:strCache>
                <c:ptCount val="1"/>
                <c:pt idx="0">
                  <c:v>CU5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5257179233544996"/>
                  <c:y val="-0.2611070759235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PBLX!$AF$13:$AF$23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14C5-43A7-8496-BC08C26BAA00}"/>
            </c:ext>
          </c:extLst>
        </c:ser>
        <c:ser>
          <c:idx val="6"/>
          <c:order val="6"/>
          <c:tx>
            <c:strRef>
              <c:f>PBLX!$AG$12</c:f>
              <c:strCache>
                <c:ptCount val="1"/>
                <c:pt idx="0">
                  <c:v>CU6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17164168762749502"/>
                  <c:y val="-0.25905725994593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PBLX!$AG$13:$AG$23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14C5-43A7-8496-BC08C26BAA00}"/>
            </c:ext>
          </c:extLst>
        </c:ser>
        <c:ser>
          <c:idx val="7"/>
          <c:order val="7"/>
          <c:tx>
            <c:strRef>
              <c:f>PBLX!$AH$12</c:f>
              <c:strCache>
                <c:ptCount val="1"/>
                <c:pt idx="0">
                  <c:v>CU7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362449925123402"/>
                  <c:y val="-0.274204710270572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PBLX!$AH$13:$AH$23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14C5-43A7-8496-BC08C26BAA00}"/>
            </c:ext>
          </c:extLst>
        </c:ser>
        <c:ser>
          <c:idx val="8"/>
          <c:order val="8"/>
          <c:tx>
            <c:strRef>
              <c:f>PBLX!$AI$12</c:f>
              <c:strCache>
                <c:ptCount val="1"/>
                <c:pt idx="0">
                  <c:v>CU8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0.21272216299961075"/>
                  <c:y val="-0.31564041220393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PBLX!$AI$13:$AI$23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4C5-43A7-8496-BC08C26BAA00}"/>
            </c:ext>
          </c:extLst>
        </c:ser>
        <c:ser>
          <c:idx val="9"/>
          <c:order val="9"/>
          <c:tx>
            <c:strRef>
              <c:f>PBLX!$AJ$12</c:f>
              <c:strCache>
                <c:ptCount val="1"/>
                <c:pt idx="0">
                  <c:v>CU9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487206249463882"/>
                  <c:y val="-0.25811714170519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PBLX!$AJ$13:$AJ$23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14C5-43A7-8496-BC08C26BAA00}"/>
            </c:ext>
          </c:extLst>
        </c:ser>
        <c:ser>
          <c:idx val="10"/>
          <c:order val="10"/>
          <c:tx>
            <c:strRef>
              <c:f>PBLX!$AK$12</c:f>
              <c:strCache>
                <c:ptCount val="1"/>
                <c:pt idx="0">
                  <c:v>CU10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253566527555414"/>
                  <c:y val="-0.296105616396698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PBLX!$AK$13:$AK$23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14C5-43A7-8496-BC08C26BAA00}"/>
            </c:ext>
          </c:extLst>
        </c:ser>
        <c:ser>
          <c:idx val="11"/>
          <c:order val="11"/>
          <c:tx>
            <c:strRef>
              <c:f>PBLX!$AL$12</c:f>
              <c:strCache>
                <c:ptCount val="1"/>
                <c:pt idx="0">
                  <c:v>CU11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9808008226339405"/>
                  <c:y val="-0.3150825147153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PBLX!$AL$13:$AL$23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14C5-43A7-8496-BC08C26BAA00}"/>
            </c:ext>
          </c:extLst>
        </c:ser>
        <c:ser>
          <c:idx val="12"/>
          <c:order val="12"/>
          <c:tx>
            <c:strRef>
              <c:f>PBLX!$AM$12</c:f>
              <c:strCache>
                <c:ptCount val="1"/>
                <c:pt idx="0">
                  <c:v>CU12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823881153111898"/>
                  <c:y val="-0.27305423723904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PBLX!$AM$13:$AM$23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14C5-43A7-8496-BC08C26BAA00}"/>
            </c:ext>
          </c:extLst>
        </c:ser>
        <c:ser>
          <c:idx val="13"/>
          <c:order val="13"/>
          <c:tx>
            <c:strRef>
              <c:f>PBLX!$AN$12</c:f>
              <c:strCache>
                <c:ptCount val="1"/>
                <c:pt idx="0">
                  <c:v>CU13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2903604917119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PBLX!$AN$13:$AN$23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14C5-43A7-8496-BC08C26BAA00}"/>
            </c:ext>
          </c:extLst>
        </c:ser>
        <c:ser>
          <c:idx val="14"/>
          <c:order val="14"/>
          <c:tx>
            <c:strRef>
              <c:f>PBLX!$AO$12</c:f>
              <c:strCache>
                <c:ptCount val="1"/>
                <c:pt idx="0">
                  <c:v>CU14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699124828771418"/>
                  <c:y val="-0.305890543866214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PBLX!$Z$13:$Z$23</c:f>
            </c:numRef>
          </c:xVal>
          <c:yVal>
            <c:numRef>
              <c:f>PBLX!$AO$13:$AO$23</c:f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14C5-43A7-8496-BC08C26B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003448"/>
        <c:axId val="751996232"/>
        <c:extLst/>
      </c:scatterChart>
      <c:valAx>
        <c:axId val="752003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96232"/>
        <c:crosses val="autoZero"/>
        <c:crossBetween val="midCat"/>
      </c:valAx>
      <c:valAx>
        <c:axId val="75199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003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2.png"/><Relationship Id="rId5" Type="http://schemas.openxmlformats.org/officeDocument/2006/relationships/image" Target="../media/image12.png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image" Target="../media/image2.png"/><Relationship Id="rId5" Type="http://schemas.openxmlformats.org/officeDocument/2006/relationships/image" Target="../media/image12.png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image" Target="../media/image2.png"/><Relationship Id="rId5" Type="http://schemas.openxmlformats.org/officeDocument/2006/relationships/image" Target="../media/image13.png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image" Target="../media/image2.png"/><Relationship Id="rId5" Type="http://schemas.openxmlformats.org/officeDocument/2006/relationships/image" Target="../media/image14.png"/><Relationship Id="rId4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2.png"/><Relationship Id="rId5" Type="http://schemas.openxmlformats.org/officeDocument/2006/relationships/image" Target="../media/image15.png"/><Relationship Id="rId4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image" Target="../media/image2.png"/><Relationship Id="rId5" Type="http://schemas.openxmlformats.org/officeDocument/2006/relationships/image" Target="../media/image16.png"/><Relationship Id="rId4" Type="http://schemas.openxmlformats.org/officeDocument/2006/relationships/chart" Target="../charts/chart4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image" Target="../media/image2.png"/><Relationship Id="rId5" Type="http://schemas.openxmlformats.org/officeDocument/2006/relationships/image" Target="../media/image17.png"/><Relationship Id="rId4" Type="http://schemas.openxmlformats.org/officeDocument/2006/relationships/chart" Target="../charts/chart4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image" Target="../media/image2.png"/><Relationship Id="rId5" Type="http://schemas.openxmlformats.org/officeDocument/2006/relationships/image" Target="../media/image18.png"/><Relationship Id="rId4" Type="http://schemas.openxmlformats.org/officeDocument/2006/relationships/chart" Target="../charts/chart5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image" Target="../media/image2.png"/><Relationship Id="rId5" Type="http://schemas.openxmlformats.org/officeDocument/2006/relationships/image" Target="../media/image19.png"/><Relationship Id="rId4" Type="http://schemas.openxmlformats.org/officeDocument/2006/relationships/chart" Target="../charts/chart5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2.png"/><Relationship Id="rId5" Type="http://schemas.openxmlformats.org/officeDocument/2006/relationships/image" Target="../media/image20.png"/><Relationship Id="rId4" Type="http://schemas.openxmlformats.org/officeDocument/2006/relationships/chart" Target="../charts/chart5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image" Target="../media/image2.png"/><Relationship Id="rId5" Type="http://schemas.openxmlformats.org/officeDocument/2006/relationships/image" Target="../media/image21.png"/><Relationship Id="rId4" Type="http://schemas.openxmlformats.org/officeDocument/2006/relationships/chart" Target="../charts/chart6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png"/><Relationship Id="rId5" Type="http://schemas.openxmlformats.org/officeDocument/2006/relationships/image" Target="../media/image22.png"/><Relationship Id="rId4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image" Target="../media/image2.png"/><Relationship Id="rId5" Type="http://schemas.openxmlformats.org/officeDocument/2006/relationships/image" Target="../media/image9.png"/><Relationship Id="rId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image" Target="../media/image2.png"/><Relationship Id="rId5" Type="http://schemas.openxmlformats.org/officeDocument/2006/relationships/image" Target="../media/image10.png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image" Target="../media/image2.png"/><Relationship Id="rId5" Type="http://schemas.openxmlformats.org/officeDocument/2006/relationships/image" Target="../media/image11.png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157162</xdr:colOff>
      <xdr:row>30</xdr:row>
      <xdr:rowOff>185737</xdr:rowOff>
    </xdr:from>
    <xdr:to>
      <xdr:col>23</xdr:col>
      <xdr:colOff>371475</xdr:colOff>
      <xdr:row>44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A85FE5-AD0B-4A92-B11D-3EC0AC9DC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44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F5021E-28EC-44A4-81FE-697B2610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1216588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88F652-D17A-45BE-A324-FDFCD766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119063</xdr:rowOff>
    </xdr:from>
    <xdr:to>
      <xdr:col>113</xdr:col>
      <xdr:colOff>585786</xdr:colOff>
      <xdr:row>49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41A19E-CA54-46D1-A0AB-5EC94E29E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8188" y="7596188"/>
          <a:ext cx="3014661" cy="2052637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44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265B6B-2B8A-484E-A24C-0AB22E7A5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59</xdr:col>
      <xdr:colOff>0</xdr:colOff>
      <xdr:row>31</xdr:row>
      <xdr:rowOff>0</xdr:rowOff>
    </xdr:from>
    <xdr:to>
      <xdr:col>68</xdr:col>
      <xdr:colOff>509588</xdr:colOff>
      <xdr:row>44</xdr:row>
      <xdr:rowOff>176213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6DE163B-3CE1-4FFF-9CA0-5CC70223D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1678781</xdr:colOff>
      <xdr:row>3</xdr:row>
      <xdr:rowOff>102009</xdr:rowOff>
    </xdr:from>
    <xdr:to>
      <xdr:col>2</xdr:col>
      <xdr:colOff>1533814</xdr:colOff>
      <xdr:row>9</xdr:row>
      <xdr:rowOff>107156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B0CE34D-7EC9-4848-85FD-2CB0A651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44" y="673509"/>
          <a:ext cx="1593345" cy="1148147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FF9D7-43C3-48FF-8A5C-B57B158E6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C05B90-E491-4F20-8AE1-BD54DF0A6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1464238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D9FEDF-98A4-431F-9302-2EBF4624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D300C1-0F49-40F8-8EBB-4CAE3D36C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1552836</xdr:colOff>
      <xdr:row>3</xdr:row>
      <xdr:rowOff>142875</xdr:rowOff>
    </xdr:from>
    <xdr:to>
      <xdr:col>3</xdr:col>
      <xdr:colOff>36011</xdr:colOff>
      <xdr:row>9</xdr:row>
      <xdr:rowOff>52387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24FCBB-0270-4318-B089-3297CB4D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786" y="685800"/>
          <a:ext cx="1840738" cy="995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357187</xdr:colOff>
      <xdr:row>38</xdr:row>
      <xdr:rowOff>166687</xdr:rowOff>
    </xdr:from>
    <xdr:to>
      <xdr:col>62</xdr:col>
      <xdr:colOff>552448</xdr:colOff>
      <xdr:row>49</xdr:row>
      <xdr:rowOff>85724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FD85F6-CA62-4236-A65B-70E448F7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57700" y="7081837"/>
          <a:ext cx="3205161" cy="19192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D5F60F-B127-4D1E-98EE-524041ADE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87811F-2688-4970-BE92-CE6ECDC7E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1407088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A02E56-9DC7-414A-85F8-C704DBCE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E7654D-B6DF-4B9B-ABB6-4A15CE5DB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19051</xdr:colOff>
      <xdr:row>3</xdr:row>
      <xdr:rowOff>123825</xdr:rowOff>
    </xdr:from>
    <xdr:to>
      <xdr:col>3</xdr:col>
      <xdr:colOff>11939</xdr:colOff>
      <xdr:row>9</xdr:row>
      <xdr:rowOff>33337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C26F6F3-9857-4FC9-BDE1-8A7A1F917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589" y="666750"/>
          <a:ext cx="1840738" cy="995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380740</xdr:colOff>
      <xdr:row>38</xdr:row>
      <xdr:rowOff>47625</xdr:rowOff>
    </xdr:from>
    <xdr:to>
      <xdr:col>62</xdr:col>
      <xdr:colOff>576001</xdr:colOff>
      <xdr:row>48</xdr:row>
      <xdr:rowOff>157162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B110D5C-03C8-496C-AD7A-D2A5DEB16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4128" y="6962775"/>
          <a:ext cx="3205161" cy="191928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825425-9EA4-4066-8E50-96AD11143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C3559A-E932-468E-91EE-AACBB1EFD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1330888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9E382C-7D3C-439C-86A3-26249AB40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1C90E-D74E-4AD5-B8B9-CD3D5319B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1438275</xdr:colOff>
      <xdr:row>3</xdr:row>
      <xdr:rowOff>76201</xdr:rowOff>
    </xdr:from>
    <xdr:to>
      <xdr:col>2</xdr:col>
      <xdr:colOff>1582095</xdr:colOff>
      <xdr:row>9</xdr:row>
      <xdr:rowOff>100963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5E1BB6-31A0-43FA-8305-FABB9C8C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81225" y="619126"/>
          <a:ext cx="1967858" cy="1110612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58</xdr:col>
      <xdr:colOff>5821</xdr:colOff>
      <xdr:row>37</xdr:row>
      <xdr:rowOff>177233</xdr:rowOff>
    </xdr:from>
    <xdr:to>
      <xdr:col>63</xdr:col>
      <xdr:colOff>943</xdr:colOff>
      <xdr:row>48</xdr:row>
      <xdr:rowOff>105795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F62A8C-6CD9-4E94-BFA6-05100E7E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3863" y="6876483"/>
          <a:ext cx="3196581" cy="19076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0C12A5-5696-47E8-BC0F-BB5287D8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60F6C6-DAAA-4D99-B89C-8244C237D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1245163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06D893-CE33-4FA3-BF8F-56448802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FA3ACA-331D-4FE0-9219-F878B109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1584323</xdr:colOff>
      <xdr:row>4</xdr:row>
      <xdr:rowOff>1</xdr:rowOff>
    </xdr:from>
    <xdr:to>
      <xdr:col>3</xdr:col>
      <xdr:colOff>85723</xdr:colOff>
      <xdr:row>9</xdr:row>
      <xdr:rowOff>38101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98DD16-87BD-4BB9-B4F6-1E7C3FE60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48" y="762001"/>
          <a:ext cx="1816100" cy="9906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371475</xdr:colOff>
      <xdr:row>38</xdr:row>
      <xdr:rowOff>76200</xdr:rowOff>
    </xdr:from>
    <xdr:to>
      <xdr:col>62</xdr:col>
      <xdr:colOff>585672</xdr:colOff>
      <xdr:row>49</xdr:row>
      <xdr:rowOff>4762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9DB21E1-CE0C-40E2-B566-ADE57E30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500" y="7372350"/>
          <a:ext cx="3043122" cy="20240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96C64A-E6E5-4042-BBCF-80BE9CBD3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B40106-A23A-40E5-9E27-1A2EEF1F2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1226113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FE1E3C-3B8E-4521-8EBC-103F47DC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393E069-B272-4493-A148-37DBBC559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1638300</xdr:colOff>
      <xdr:row>3</xdr:row>
      <xdr:rowOff>0</xdr:rowOff>
    </xdr:from>
    <xdr:to>
      <xdr:col>2</xdr:col>
      <xdr:colOff>1520988</xdr:colOff>
      <xdr:row>10</xdr:row>
      <xdr:rowOff>2918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7093AE-CEF8-4956-AC63-BF63CCD1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571500"/>
          <a:ext cx="1606713" cy="1336418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381000</xdr:colOff>
      <xdr:row>38</xdr:row>
      <xdr:rowOff>28575</xdr:rowOff>
    </xdr:from>
    <xdr:to>
      <xdr:col>62</xdr:col>
      <xdr:colOff>595197</xdr:colOff>
      <xdr:row>48</xdr:row>
      <xdr:rowOff>147637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E6569C-25C8-49BA-B601-3B48EF74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52925" y="7324725"/>
          <a:ext cx="3043122" cy="20240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157162</xdr:colOff>
      <xdr:row>30</xdr:row>
      <xdr:rowOff>185737</xdr:rowOff>
    </xdr:from>
    <xdr:to>
      <xdr:col>23</xdr:col>
      <xdr:colOff>371475</xdr:colOff>
      <xdr:row>46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DD6A7F-D1BD-4E9D-82D3-92054412F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F1FB28-285D-4189-9EFD-7DC9C66F0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1378513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352A67-23E9-4859-B3CC-A5FE670A7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53B786-EE61-4BF0-92B9-ACA1AB245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1533527</xdr:colOff>
      <xdr:row>3</xdr:row>
      <xdr:rowOff>171450</xdr:rowOff>
    </xdr:from>
    <xdr:to>
      <xdr:col>2</xdr:col>
      <xdr:colOff>1756174</xdr:colOff>
      <xdr:row>9</xdr:row>
      <xdr:rowOff>18393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CB6833-AA7D-45C2-A50D-0FAF82141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2" y="742950"/>
          <a:ext cx="1794272" cy="989943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361950</xdr:colOff>
      <xdr:row>38</xdr:row>
      <xdr:rowOff>104775</xdr:rowOff>
    </xdr:from>
    <xdr:to>
      <xdr:col>113</xdr:col>
      <xdr:colOff>576147</xdr:colOff>
      <xdr:row>49</xdr:row>
      <xdr:rowOff>33337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99C5D5-AD4A-4D4D-8E8D-96B5AC6B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0550" y="7400925"/>
          <a:ext cx="3043122" cy="202406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EB414E-EEC7-42CA-B8ED-99B1698AC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FD0E4C-3A96-483E-BF91-BB350A911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1302313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7E579A-C9E8-4D06-9347-FD789AC89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0F48067-94D6-443F-8807-C74FF30E0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9525</xdr:colOff>
      <xdr:row>4</xdr:row>
      <xdr:rowOff>45703</xdr:rowOff>
    </xdr:from>
    <xdr:to>
      <xdr:col>3</xdr:col>
      <xdr:colOff>47625</xdr:colOff>
      <xdr:row>9</xdr:row>
      <xdr:rowOff>38782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B1CE261-1F85-4659-BC69-9566C24D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807703"/>
          <a:ext cx="1695450" cy="945579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371475</xdr:colOff>
      <xdr:row>38</xdr:row>
      <xdr:rowOff>38100</xdr:rowOff>
    </xdr:from>
    <xdr:to>
      <xdr:col>62</xdr:col>
      <xdr:colOff>585672</xdr:colOff>
      <xdr:row>48</xdr:row>
      <xdr:rowOff>157162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E5B7C2-7EDB-4E7A-8046-07B1300F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71975" y="7334250"/>
          <a:ext cx="3043122" cy="20240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600CBB-951E-4F27-938F-C5EAF6161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52EF0B-FDEF-4F39-BF11-C81500FC1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1330888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2E3CCD-8FBB-4495-8570-34F568AB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7BEA2A-8F76-4205-A7EE-D24538C40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1609726</xdr:colOff>
      <xdr:row>4</xdr:row>
      <xdr:rowOff>1</xdr:rowOff>
    </xdr:from>
    <xdr:to>
      <xdr:col>2</xdr:col>
      <xdr:colOff>1638300</xdr:colOff>
      <xdr:row>8</xdr:row>
      <xdr:rowOff>181468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3F412E-07E9-421D-8BAF-4A6EEC54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1" y="762001"/>
          <a:ext cx="1647824" cy="943467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352425</xdr:colOff>
      <xdr:row>38</xdr:row>
      <xdr:rowOff>57150</xdr:rowOff>
    </xdr:from>
    <xdr:to>
      <xdr:col>62</xdr:col>
      <xdr:colOff>566622</xdr:colOff>
      <xdr:row>48</xdr:row>
      <xdr:rowOff>176212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09BFB4-A231-41AC-A87C-6EC8E46E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52925" y="7353300"/>
          <a:ext cx="3043122" cy="20240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68638-6041-4A1A-AA52-272954B15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CB268A-B8EF-4DE0-9C5B-BF43FE795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1349938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2AE98E-922A-407E-8999-3706AA19B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DE001D-90BC-4A8F-8A46-EFF4DABBA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1466850</xdr:colOff>
      <xdr:row>3</xdr:row>
      <xdr:rowOff>140769</xdr:rowOff>
    </xdr:from>
    <xdr:to>
      <xdr:col>3</xdr:col>
      <xdr:colOff>47116</xdr:colOff>
      <xdr:row>9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DA3EF0-2088-47B8-985A-D29715579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712269"/>
          <a:ext cx="1894966" cy="1021282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361950</xdr:colOff>
      <xdr:row>38</xdr:row>
      <xdr:rowOff>66675</xdr:rowOff>
    </xdr:from>
    <xdr:to>
      <xdr:col>62</xdr:col>
      <xdr:colOff>576147</xdr:colOff>
      <xdr:row>48</xdr:row>
      <xdr:rowOff>185737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63BF14-590E-4E56-83A1-CB277B9A6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71975" y="7362825"/>
          <a:ext cx="3043122" cy="202406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75CE13-5E32-4068-AB52-A3EF20C16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C1AC25-4224-465D-8BE8-E117A9B48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1340413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0B4C0B-6973-49A0-B78B-8E64F0EA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458E83-D8CB-4FF4-9BC2-063E53763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1314450</xdr:colOff>
      <xdr:row>2</xdr:row>
      <xdr:rowOff>161155</xdr:rowOff>
    </xdr:from>
    <xdr:to>
      <xdr:col>3</xdr:col>
      <xdr:colOff>352425</xdr:colOff>
      <xdr:row>9</xdr:row>
      <xdr:rowOff>184109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F458D2-D25B-4518-9B5B-83016BE9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542155"/>
          <a:ext cx="2333625" cy="135645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361950</xdr:colOff>
      <xdr:row>38</xdr:row>
      <xdr:rowOff>57150</xdr:rowOff>
    </xdr:from>
    <xdr:to>
      <xdr:col>62</xdr:col>
      <xdr:colOff>576147</xdr:colOff>
      <xdr:row>48</xdr:row>
      <xdr:rowOff>176212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9349BE-AE29-4952-AB02-BA6C2638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52925" y="7353300"/>
          <a:ext cx="3043122" cy="2024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F5DB8E-F17B-4D88-AB13-1E1929B61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44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59A2EC-AB20-4D26-9AD4-14442FEE8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1216588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9E5CBB-C601-4BAB-A313-786BA1B5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44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D370BF-5A55-46E8-8A15-682AC79E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1639527</xdr:colOff>
      <xdr:row>4</xdr:row>
      <xdr:rowOff>1</xdr:rowOff>
    </xdr:from>
    <xdr:to>
      <xdr:col>3</xdr:col>
      <xdr:colOff>119142</xdr:colOff>
      <xdr:row>9</xdr:row>
      <xdr:rowOff>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2853B90-4724-47D6-836A-DE6DEC0CB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477" y="762001"/>
          <a:ext cx="2118165" cy="95250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371475</xdr:colOff>
      <xdr:row>38</xdr:row>
      <xdr:rowOff>66675</xdr:rowOff>
    </xdr:from>
    <xdr:to>
      <xdr:col>62</xdr:col>
      <xdr:colOff>544511</xdr:colOff>
      <xdr:row>48</xdr:row>
      <xdr:rowOff>185737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0B041CF-72F6-4DB7-9E12-62068FC7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00600" y="7362825"/>
          <a:ext cx="3221036" cy="205263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9C60C6-F6FE-4231-8765-757557C05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265AA-8D04-4FEF-AA32-E2B9997D1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1330888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E3D7C0-A293-4364-A5A6-C8967BB10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FF2C01E-93DA-4F9E-BCCD-F04AFCF6F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1368039</xdr:colOff>
      <xdr:row>3</xdr:row>
      <xdr:rowOff>152400</xdr:rowOff>
    </xdr:from>
    <xdr:to>
      <xdr:col>3</xdr:col>
      <xdr:colOff>9526</xdr:colOff>
      <xdr:row>9</xdr:row>
      <xdr:rowOff>156722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1A48CA-C3EF-41DB-B647-CD96C1F0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2063364" y="723900"/>
          <a:ext cx="1918087" cy="1147322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371475</xdr:colOff>
      <xdr:row>38</xdr:row>
      <xdr:rowOff>76200</xdr:rowOff>
    </xdr:from>
    <xdr:to>
      <xdr:col>62</xdr:col>
      <xdr:colOff>585672</xdr:colOff>
      <xdr:row>49</xdr:row>
      <xdr:rowOff>4762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847EAA-27DF-48B4-B65A-49CCF20D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3400" y="7372350"/>
          <a:ext cx="3043122" cy="202406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BEE96F-F06C-4906-BCAB-25B259875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B8E31C-A73E-40D3-83D8-DAF4ECD41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1349938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450748-187C-4B5B-8347-9F67AE8D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C8A6BD-EE9A-4672-8605-53BB2479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1362075</xdr:colOff>
      <xdr:row>3</xdr:row>
      <xdr:rowOff>41034</xdr:rowOff>
    </xdr:from>
    <xdr:to>
      <xdr:col>3</xdr:col>
      <xdr:colOff>102134</xdr:colOff>
      <xdr:row>9</xdr:row>
      <xdr:rowOff>161926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D40FE99-5104-4C08-83D1-EACBA9DC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612534"/>
          <a:ext cx="2035709" cy="1263892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381000</xdr:colOff>
      <xdr:row>38</xdr:row>
      <xdr:rowOff>161925</xdr:rowOff>
    </xdr:from>
    <xdr:to>
      <xdr:col>62</xdr:col>
      <xdr:colOff>595197</xdr:colOff>
      <xdr:row>49</xdr:row>
      <xdr:rowOff>90487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17AAE9-F5DE-4798-8B2A-4189E2CE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43350" y="7077075"/>
          <a:ext cx="3043122" cy="2024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768258-8802-4909-994F-BFDDACDEF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44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9210DB-3E4C-43B0-ADB6-0AFC8000F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1273738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0D01B1-B0ED-434E-86BC-46E85AFC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44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C78420-731B-4AEC-A925-7F55DD162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1335606</xdr:colOff>
      <xdr:row>3</xdr:row>
      <xdr:rowOff>114300</xdr:rowOff>
    </xdr:from>
    <xdr:to>
      <xdr:col>3</xdr:col>
      <xdr:colOff>174058</xdr:colOff>
      <xdr:row>9</xdr:row>
      <xdr:rowOff>95251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6E09FAE-D1F0-4A08-8749-C8F29B39C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31" y="685800"/>
          <a:ext cx="2153152" cy="1123951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371475</xdr:colOff>
      <xdr:row>38</xdr:row>
      <xdr:rowOff>123825</xdr:rowOff>
    </xdr:from>
    <xdr:to>
      <xdr:col>62</xdr:col>
      <xdr:colOff>566736</xdr:colOff>
      <xdr:row>49</xdr:row>
      <xdr:rowOff>52387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E39817-6A14-44FB-B142-1A8C0021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38675" y="7419975"/>
          <a:ext cx="3205161" cy="20526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504853-6057-458E-A2E4-A16BB8CF6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C50F19-7F4E-4B60-BAFC-F0BE894A2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1254688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ACE1F4-83E1-4764-ACBF-A818C2E1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5CA3A1-D600-4EAA-B51E-A8B311334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58</xdr:col>
      <xdr:colOff>9525</xdr:colOff>
      <xdr:row>37</xdr:row>
      <xdr:rowOff>171450</xdr:rowOff>
    </xdr:from>
    <xdr:to>
      <xdr:col>62</xdr:col>
      <xdr:colOff>595311</xdr:colOff>
      <xdr:row>48</xdr:row>
      <xdr:rowOff>128587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FFEC14-DB51-463B-BA9F-C5F7DFD7A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3875" y="6896100"/>
          <a:ext cx="3024186" cy="2052637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1495425</xdr:colOff>
      <xdr:row>3</xdr:row>
      <xdr:rowOff>28575</xdr:rowOff>
    </xdr:from>
    <xdr:to>
      <xdr:col>3</xdr:col>
      <xdr:colOff>9525</xdr:colOff>
      <xdr:row>9</xdr:row>
      <xdr:rowOff>171450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1A2357A-6736-4F3A-AA12-7A4E3A7DD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00075"/>
          <a:ext cx="1752600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A747C-E7E3-44F6-8A97-353F4E669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564757-AB31-4D7D-A578-B573CAE97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1273738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07D54A-1991-441C-93B7-EB989B68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47B5AB-FF33-4E9D-BC50-9924D2D7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1438275</xdr:colOff>
      <xdr:row>3</xdr:row>
      <xdr:rowOff>180975</xdr:rowOff>
    </xdr:from>
    <xdr:to>
      <xdr:col>3</xdr:col>
      <xdr:colOff>28575</xdr:colOff>
      <xdr:row>9</xdr:row>
      <xdr:rowOff>150316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BB08AE-11DB-46C9-AC8F-494E4621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752475"/>
          <a:ext cx="1924050" cy="1112341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58</xdr:col>
      <xdr:colOff>38100</xdr:colOff>
      <xdr:row>38</xdr:row>
      <xdr:rowOff>57150</xdr:rowOff>
    </xdr:from>
    <xdr:to>
      <xdr:col>63</xdr:col>
      <xdr:colOff>14286</xdr:colOff>
      <xdr:row>49</xdr:row>
      <xdr:rowOff>14287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ECFC263-4C14-4D54-882D-BDBA52B5C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57700" y="7353300"/>
          <a:ext cx="3024186" cy="20526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A02D7-0281-48A6-92D3-BCB1022F7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DB6804-74BF-4953-8C23-6016DE60D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1311838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B6963B-D610-440B-ABFE-2A57D7AF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D7C734-2A27-449C-A855-9689B806E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1428750</xdr:colOff>
      <xdr:row>3</xdr:row>
      <xdr:rowOff>57150</xdr:rowOff>
    </xdr:from>
    <xdr:to>
      <xdr:col>3</xdr:col>
      <xdr:colOff>38100</xdr:colOff>
      <xdr:row>9</xdr:row>
      <xdr:rowOff>115765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54EA2C-DBDD-420D-8C49-F573DDFD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628650"/>
          <a:ext cx="1952625" cy="120161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0</xdr:colOff>
      <xdr:row>38</xdr:row>
      <xdr:rowOff>104775</xdr:rowOff>
    </xdr:from>
    <xdr:to>
      <xdr:col>62</xdr:col>
      <xdr:colOff>585786</xdr:colOff>
      <xdr:row>49</xdr:row>
      <xdr:rowOff>61912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1A5538-66C8-4EED-B079-56C6922C2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29125" y="7400925"/>
          <a:ext cx="3024186" cy="20526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9899D1-7DD0-4B7B-9DC6-5EB26A9A4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46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E1AD56-C013-490F-8C5C-EA475765C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1302313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C58916-C552-42B0-AD5B-ADE24568C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46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F5C4FE-BD19-4800-97A9-D3208C94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1447800</xdr:colOff>
      <xdr:row>3</xdr:row>
      <xdr:rowOff>157137</xdr:rowOff>
    </xdr:from>
    <xdr:to>
      <xdr:col>3</xdr:col>
      <xdr:colOff>76200</xdr:colOff>
      <xdr:row>9</xdr:row>
      <xdr:rowOff>72263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CFDC3D-C340-4652-B031-B1FBE6AF9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728637"/>
          <a:ext cx="1952625" cy="105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38</xdr:row>
      <xdr:rowOff>85725</xdr:rowOff>
    </xdr:from>
    <xdr:to>
      <xdr:col>62</xdr:col>
      <xdr:colOff>576261</xdr:colOff>
      <xdr:row>49</xdr:row>
      <xdr:rowOff>42862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6B2B5C-197F-41F9-8049-FBC272BD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0550" y="7381875"/>
          <a:ext cx="3024186" cy="20526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912818-1EDF-4885-92FB-EF965C900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44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7CC9CC-2423-473F-957F-71D6749E7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1264213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093BC3-F782-4026-BCBF-C3A07DD3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44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B37BCF-2ACB-4F46-895C-821102057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836395</xdr:colOff>
      <xdr:row>3</xdr:row>
      <xdr:rowOff>123825</xdr:rowOff>
    </xdr:from>
    <xdr:to>
      <xdr:col>3</xdr:col>
      <xdr:colOff>66676</xdr:colOff>
      <xdr:row>8</xdr:row>
      <xdr:rowOff>189640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B6D687D-9026-45B0-8E5C-CD3A06A73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720" y="695325"/>
          <a:ext cx="2592606" cy="1018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37</xdr:row>
      <xdr:rowOff>123825</xdr:rowOff>
    </xdr:from>
    <xdr:to>
      <xdr:col>113</xdr:col>
      <xdr:colOff>576261</xdr:colOff>
      <xdr:row>48</xdr:row>
      <xdr:rowOff>52387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6A6040-67BA-49A3-86A0-15D78631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38650" y="7229475"/>
          <a:ext cx="3024186" cy="20526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252412</xdr:colOff>
      <xdr:row>30</xdr:row>
      <xdr:rowOff>166687</xdr:rowOff>
    </xdr:from>
    <xdr:to>
      <xdr:col>21</xdr:col>
      <xdr:colOff>762000</xdr:colOff>
      <xdr:row>44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262AD5-80B1-4532-9EC5-6620CCD5E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85725</xdr:colOff>
      <xdr:row>30</xdr:row>
      <xdr:rowOff>66675</xdr:rowOff>
    </xdr:from>
    <xdr:to>
      <xdr:col>34</xdr:col>
      <xdr:colOff>595313</xdr:colOff>
      <xdr:row>44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3CF1BE-C6BF-4BA8-99DB-DC3B91CB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74510</xdr:colOff>
      <xdr:row>0</xdr:row>
      <xdr:rowOff>66675</xdr:rowOff>
    </xdr:from>
    <xdr:to>
      <xdr:col>2</xdr:col>
      <xdr:colOff>1502338</xdr:colOff>
      <xdr:row>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57831F-6A44-4BA8-A93C-3173709C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0" y="66675"/>
          <a:ext cx="3570953" cy="457200"/>
        </a:xfrm>
        <a:prstGeom prst="rect">
          <a:avLst/>
        </a:prstGeom>
      </xdr:spPr>
    </xdr:pic>
    <xdr:clientData/>
  </xdr:twoCellAnchor>
  <xdr:twoCellAnchor>
    <xdr:from>
      <xdr:col>42</xdr:col>
      <xdr:colOff>38100</xdr:colOff>
      <xdr:row>30</xdr:row>
      <xdr:rowOff>123825</xdr:rowOff>
    </xdr:from>
    <xdr:to>
      <xdr:col>51</xdr:col>
      <xdr:colOff>547688</xdr:colOff>
      <xdr:row>44</xdr:row>
      <xdr:rowOff>109538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EB3FD1-A0A7-4BEB-BDC1-06437EF9E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1332556</xdr:colOff>
      <xdr:row>3</xdr:row>
      <xdr:rowOff>61950</xdr:rowOff>
    </xdr:from>
    <xdr:to>
      <xdr:col>3</xdr:col>
      <xdr:colOff>76201</xdr:colOff>
      <xdr:row>9</xdr:row>
      <xdr:rowOff>132405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2F42E4B-091E-4557-A774-F907D4C2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75506" y="604875"/>
          <a:ext cx="2048820" cy="1156305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381000</xdr:colOff>
      <xdr:row>38</xdr:row>
      <xdr:rowOff>52387</xdr:rowOff>
    </xdr:from>
    <xdr:to>
      <xdr:col>62</xdr:col>
      <xdr:colOff>576261</xdr:colOff>
      <xdr:row>48</xdr:row>
      <xdr:rowOff>142874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9C61EF-28CC-4F9F-AF93-F3674EB9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29125" y="6967537"/>
          <a:ext cx="3205161" cy="191928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2FCBB83C-CFE7-4D31-97B5-E9F8322C4119}" name="Table2x4134144154227" displayName="Table2x4134144154227" ref="I12:X23" totalsRowShown="0">
  <autoFilter ref="I12:X23" xr:uid="{3261A0F6-56CE-4121-8693-4727BC51A8EC}"/>
  <tableColumns count="16">
    <tableColumn id="1" xr3:uid="{0692E9E6-D2AC-432B-9D36-41E1C976E126}" name="RCR"/>
    <tableColumn id="2" xr3:uid="{22E109CE-6BAD-4188-93C6-99E116137653}" name="CU"/>
    <tableColumn id="3" xr3:uid="{30167683-02A1-4981-B7BD-E84838284326}" name="CU1"/>
    <tableColumn id="4" xr3:uid="{334642C0-54F7-4A50-8D04-8B26A51A34F4}" name="CU2"/>
    <tableColumn id="5" xr3:uid="{1817B139-38A9-48E7-9816-BB7A2436EB2D}" name="CU3"/>
    <tableColumn id="6" xr3:uid="{AEAEECDA-2884-4002-98AB-E14551226E1D}" name="CU4"/>
    <tableColumn id="7" xr3:uid="{5D74FB18-F740-4F23-AF77-E47576BA128A}" name="CU5"/>
    <tableColumn id="8" xr3:uid="{B43836CC-67E5-44DB-9B5B-A232B1CAF91D}" name="CU6"/>
    <tableColumn id="9" xr3:uid="{397B1847-3B7D-4E96-9E43-4531579A3FDC}" name="CU7"/>
    <tableColumn id="10" xr3:uid="{0B82C43A-B266-4119-852C-136FE98977D3}" name="CU8"/>
    <tableColumn id="11" xr3:uid="{8B5FA6FE-3A0F-432C-B423-BBF852117AC5}" name="CU9"/>
    <tableColumn id="12" xr3:uid="{42DC1703-B2F9-4010-99BB-667BDCFF6433}" name="CU10"/>
    <tableColumn id="13" xr3:uid="{96605A49-6780-4786-B1DF-B15A8274921C}" name="CU11"/>
    <tableColumn id="14" xr3:uid="{309A14CB-9F17-436D-B6A3-DE3E2B11C579}" name="CU12"/>
    <tableColumn id="15" xr3:uid="{70D2A6DD-BC0A-4A30-A05D-D5C8C6730BD1}" name="CU13"/>
    <tableColumn id="16" xr3:uid="{FC547809-400B-4E91-A4C9-87F5B497A254}" name="CU1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5697DD53-31A8-4988-B3EE-A001E5A6DB19}" name="Table1x4143153163236" displayName="Table1x4143153163236" ref="AQ12:BF23" totalsRowShown="0" headerRowDxfId="238" headerRowBorderDxfId="237" tableBorderDxfId="236">
  <autoFilter ref="AQ12:BF23" xr:uid="{39533706-340A-4B99-8072-6D7A862652F4}"/>
  <tableColumns count="16">
    <tableColumn id="1" xr3:uid="{1D4C83E5-E2FC-4216-A5F3-F59FEACC1416}" name="RCR"/>
    <tableColumn id="2" xr3:uid="{496E1A35-B9B8-4C6E-AD5C-B727DC799F32}" name="CU"/>
    <tableColumn id="3" xr3:uid="{FB83AF71-B862-4DED-B339-17958A6743FA}" name="CU1"/>
    <tableColumn id="4" xr3:uid="{667C1D47-502D-4F38-A075-03A8A879DF9E}" name="CU2"/>
    <tableColumn id="5" xr3:uid="{375DC19A-6F85-4792-B78D-63155D694AB1}" name="CU3"/>
    <tableColumn id="6" xr3:uid="{4C245272-6622-4E66-A147-06211FB45FA3}" name="CU4"/>
    <tableColumn id="7" xr3:uid="{5937656B-F678-45CF-B6BC-66DA815FD8EC}" name="CU5"/>
    <tableColumn id="8" xr3:uid="{0F331539-9A7D-4F37-A5B3-54997D7E91BE}" name="CU6"/>
    <tableColumn id="9" xr3:uid="{62A28250-408D-4721-A29A-ADDB200041B4}" name="CU7"/>
    <tableColumn id="10" xr3:uid="{31F6B958-58FC-4000-B832-F12DA74FE136}" name="CU8"/>
    <tableColumn id="11" xr3:uid="{71F5620C-AEF9-4845-BC50-CF17DF0BFAC5}" name="CU9"/>
    <tableColumn id="12" xr3:uid="{849536B0-05DF-43F1-ACD4-127B5737443F}" name="CU10"/>
    <tableColumn id="13" xr3:uid="{74F68DDB-8918-46D6-8CCF-433D06E9AABC}" name="CU11"/>
    <tableColumn id="14" xr3:uid="{1BBA6A68-C56E-488B-B66E-43526A1FEBF0}" name="CU12"/>
    <tableColumn id="15" xr3:uid="{D5AC1880-CD9D-4B32-BD80-FE1195C2F841}" name="CU13"/>
    <tableColumn id="16" xr3:uid="{E3A118F8-4F0D-4869-8530-C38B45CB5ED6}" name="CU14"/>
  </tableColumns>
  <tableStyleInfo name="TableStyleMedium2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3AF6D578-03FF-4561-A083-5503E302ABF0}" name="Table229137" displayName="Table229137" ref="N87:N92" totalsRowShown="0">
  <autoFilter ref="N87:N92" xr:uid="{524A0BC1-6214-41C4-BB55-444D7E9AAFA8}"/>
  <tableColumns count="1">
    <tableColumn id="1" xr3:uid="{187624A6-6C4A-4C51-B781-B385A5C759AC}" name="RC"/>
  </tableColumns>
  <tableStyleInfo name="TableStyleMedium2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1A45EE32-2AFD-486D-B23E-A2CF29C7A61E}" name="Table31015138" displayName="Table31015138" ref="O87:O90" totalsRowShown="0">
  <autoFilter ref="O87:O90" xr:uid="{E644E126-0CB4-4B16-A438-11D08E96B6CC}"/>
  <tableColumns count="1">
    <tableColumn id="1" xr3:uid="{11A6391E-D518-4732-BE25-9E9A03B3B914}" name="RW"/>
  </tableColumns>
  <tableStyleInfo name="TableStyleMedium2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5DF68762-92AA-48F5-ADE5-B7A3E45A2933}" name="Table41116139" displayName="Table41116139" ref="P87:P88" totalsRowShown="0">
  <autoFilter ref="P87:P88" xr:uid="{C27751B9-2B6B-4AFC-8DA0-3193C288A08B}"/>
  <tableColumns count="1">
    <tableColumn id="1" xr3:uid="{B70203D0-C833-4172-864F-DC365F4B0E7A}" name="RF"/>
  </tableColumns>
  <tableStyleInfo name="TableStyleMedium2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AD7586BB-1D21-4E0E-809D-F74F907E0EF3}" name="Table81217140" displayName="Table81217140" ref="R87:T90" totalsRowShown="0">
  <autoFilter ref="R87:T90" xr:uid="{8E82A350-E297-4703-B135-7BA15B3077C0}"/>
  <tableColumns count="3">
    <tableColumn id="1" xr3:uid="{44E0A15A-94AA-4027-A358-EB21324F71DE}" name="Size"/>
    <tableColumn id="2" xr3:uid="{69BA9599-F343-479E-816E-71A6FA1152DF}" name="0-180"/>
    <tableColumn id="3" xr3:uid="{B8C6C404-E0E1-4021-958D-76117F37AA0C}" name="90-270"/>
  </tableColumns>
  <tableStyleInfo name="TableStyleMedium3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11001622-CD6F-4F85-BAB0-8188AAA88BB0}" name="Table2x2141" displayName="Table2x2141" ref="Z12:AO23" totalsRowShown="0" headerRowDxfId="134" headerRowBorderDxfId="133" tableBorderDxfId="132">
  <autoFilter ref="Z12:AO23" xr:uid="{7D898CA0-2AB7-48D8-8523-94ADF7F85609}"/>
  <tableColumns count="16">
    <tableColumn id="1" xr3:uid="{7970B842-D6F0-471C-8A30-463AC5751690}" name="RCR"/>
    <tableColumn id="2" xr3:uid="{2DE2C912-47F6-447C-AD9A-908C7D333329}" name="CU"/>
    <tableColumn id="3" xr3:uid="{77C66952-A8E0-4EB6-8EF6-355777C6D540}" name="CU1"/>
    <tableColumn id="4" xr3:uid="{A2A63E7D-8A33-44D9-9037-A041B63F34E2}" name="CU2"/>
    <tableColumn id="5" xr3:uid="{AA586A17-7C3E-4150-BDF7-62AC79E4A0CC}" name="CU3"/>
    <tableColumn id="6" xr3:uid="{BE34E73C-379D-477E-B309-70DEC5EBA61E}" name="CU4"/>
    <tableColumn id="7" xr3:uid="{A1DC506E-8888-4DBC-909F-F6206DD9E67E}" name="CU5"/>
    <tableColumn id="8" xr3:uid="{62629ABE-DF42-461C-AF27-6321747792F6}" name="CU6"/>
    <tableColumn id="9" xr3:uid="{43B46EB0-5075-4C80-A8AD-1FD41C5F1C91}" name="CU7"/>
    <tableColumn id="10" xr3:uid="{DEB0E36A-4680-4FB6-9AB5-D31FF05668D8}" name="CU8"/>
    <tableColumn id="11" xr3:uid="{1FA924A6-74B2-4CE4-AC8B-6627FFCD604A}" name="CU9"/>
    <tableColumn id="12" xr3:uid="{F3ABA0AF-3922-4881-9F0C-9651409516D0}" name="CU10"/>
    <tableColumn id="13" xr3:uid="{996219B5-D425-473F-AB37-B345330A1EE9}" name="CU11"/>
    <tableColumn id="14" xr3:uid="{C7C3ADE6-858D-4CAA-A7D4-03EE73E6BF6C}" name="CU12"/>
    <tableColumn id="15" xr3:uid="{23126425-E2E7-461E-8411-6A100CE0B5FD}" name="CU13"/>
    <tableColumn id="16" xr3:uid="{651D27BB-5B23-4465-A157-675B1BF3C378}" name="CU14"/>
  </tableColumns>
  <tableStyleInfo name="TableStyleMedium2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4590E741-ABA2-4E9C-BC9C-1632C54277EC}" name="Table1319142" displayName="Table1319142" ref="V87:V89" totalsRowShown="0">
  <autoFilter ref="V87:V89" xr:uid="{906F8D5B-E188-4A09-8AB3-EC4630FB1196}"/>
  <tableColumns count="1">
    <tableColumn id="1" xr3:uid="{381B53AE-A39C-4E5F-85EB-9FC8B117EA4B}" name="Orientation"/>
  </tableColumns>
  <tableStyleInfo name="TableStyleMedium2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7ED54F57-694F-4F4F-B5B4-21E16035AA87}" name="Table1x4143" displayName="Table1x4143" ref="AQ12:BF23" totalsRowShown="0" headerRowDxfId="131" headerRowBorderDxfId="130" tableBorderDxfId="129">
  <autoFilter ref="AQ12:BF23" xr:uid="{39533706-340A-4B99-8072-6D7A862652F4}"/>
  <tableColumns count="16">
    <tableColumn id="1" xr3:uid="{50A2C5AB-2A11-4EDB-8B82-5CF88525B32C}" name="RCR"/>
    <tableColumn id="2" xr3:uid="{13C2E659-3B17-4FB0-9E5C-4356EE29C4D8}" name="CU"/>
    <tableColumn id="3" xr3:uid="{75BDCE3A-E1D1-40E6-B3B1-B1388B16B7F5}" name="CU1"/>
    <tableColumn id="4" xr3:uid="{5CBB75F4-4DCC-4D21-AF24-25289DF0ABC8}" name="CU2"/>
    <tableColumn id="5" xr3:uid="{D1C49ACF-3D21-4594-8FA2-DA5D9935D13B}" name="CU3"/>
    <tableColumn id="6" xr3:uid="{A31FE219-2AF9-4146-8F37-8F92E0E57C15}" name="CU4"/>
    <tableColumn id="7" xr3:uid="{90E13D89-A08E-49A0-9FC5-4F023FF46084}" name="CU5"/>
    <tableColumn id="8" xr3:uid="{AD870A89-B3D5-4AD1-8A44-9E94D4A324E6}" name="CU6"/>
    <tableColumn id="9" xr3:uid="{434B7EFF-E02C-4D3D-9B29-4BF526B52B56}" name="CU7"/>
    <tableColumn id="10" xr3:uid="{AD9049D3-C787-4C53-AD9D-7AB56859831B}" name="CU8"/>
    <tableColumn id="11" xr3:uid="{AC6EE2E5-1370-4F10-A198-DAFA73770F33}" name="CU9"/>
    <tableColumn id="12" xr3:uid="{43CDD415-B8A1-46C4-A044-70FAE458A87D}" name="CU10"/>
    <tableColumn id="13" xr3:uid="{6D322AAE-913C-4CEB-AFCB-B5EA3060DBA2}" name="CU11"/>
    <tableColumn id="14" xr3:uid="{9892F347-85B2-42AC-B1D1-9015DB817E2C}" name="CU12"/>
    <tableColumn id="15" xr3:uid="{DD96B196-3CB7-4EA6-A224-3D78BC282F78}" name="CU13"/>
    <tableColumn id="16" xr3:uid="{C3A300CB-F03B-4692-8F38-B38BD088289F}" name="CU14"/>
  </tableColumns>
  <tableStyleInfo name="TableStyleMedium2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29C7443F-A29D-4886-801C-0566C8904A9E}" name="Table2x4134144" displayName="Table2x4134144" ref="I12:X23" totalsRowShown="0">
  <autoFilter ref="I12:X23" xr:uid="{3261A0F6-56CE-4121-8693-4727BC51A8EC}"/>
  <tableColumns count="16">
    <tableColumn id="1" xr3:uid="{368237D0-8796-4516-AFC4-22F5330D7C3B}" name="RCR"/>
    <tableColumn id="2" xr3:uid="{B6B4854E-92DA-4180-92D0-7F62B9AAA410}" name="CU"/>
    <tableColumn id="3" xr3:uid="{0904CD8E-7AD6-47B2-8529-82533A1777DE}" name="CU1"/>
    <tableColumn id="4" xr3:uid="{9B8C7757-F70C-4DC5-9768-FC0A5F14CD37}" name="CU2"/>
    <tableColumn id="5" xr3:uid="{01109846-CA07-49F7-B15E-9C0975ABBEA8}" name="CU3"/>
    <tableColumn id="6" xr3:uid="{EBDBE31E-CC5A-4A40-A12B-8FCC3A1B7758}" name="CU4"/>
    <tableColumn id="7" xr3:uid="{8D4119DE-C17A-4EEB-95E0-29D4A276BBB4}" name="CU5"/>
    <tableColumn id="8" xr3:uid="{2EC891C8-283A-48E2-B0BC-A74FC6751882}" name="CU6"/>
    <tableColumn id="9" xr3:uid="{CCE440E6-3F70-4CD2-A4FE-B5E8016408CF}" name="CU7"/>
    <tableColumn id="10" xr3:uid="{9B858AB4-410A-4B69-A752-FA9371FF12AE}" name="CU8"/>
    <tableColumn id="11" xr3:uid="{B589D559-D811-48A7-998F-C88E97FDBAD3}" name="CU9"/>
    <tableColumn id="12" xr3:uid="{B6675C82-5587-41A7-A1AE-2B94F382AA17}" name="CU10"/>
    <tableColumn id="13" xr3:uid="{2EA44BE8-33B7-46CD-A48F-5DCB5D12898E}" name="CU11"/>
    <tableColumn id="14" xr3:uid="{AEC3D5B4-BF71-4F89-B295-2D985468E1E3}" name="CU12"/>
    <tableColumn id="15" xr3:uid="{190DB8C7-57CE-463C-BE38-94ED3742867E}" name="CU13"/>
    <tableColumn id="16" xr3:uid="{D65A777B-C286-4916-935D-0D00E698CE08}" name="CU14"/>
  </tableColumns>
  <tableStyleInfo name="TableStyleMedium2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1E0CB6D8-A212-4390-A492-F3C02F89394B}" name="CUtable4135145" displayName="CUtable4135145" ref="I32:L77" totalsRowShown="0">
  <autoFilter ref="I32:L77" xr:uid="{1895C869-D44F-4135-9B0B-1FC54B546AC1}"/>
  <tableColumns count="4">
    <tableColumn id="1" xr3:uid="{F5028FA7-E8A3-43A3-B1EB-893AA7CE17F7}" name="RC"/>
    <tableColumn id="2" xr3:uid="{B4D06AD5-4169-4B88-B026-F8DD8102DBAF}" name="RW"/>
    <tableColumn id="4" xr3:uid="{C9BFAE7B-2DE8-4CEF-B1D9-4C4B656EE162}" name="Size"/>
    <tableColumn id="3" xr3:uid="{617847BD-AB24-45A7-A405-88149EAB103B}" name="CU"/>
  </tableColumns>
  <tableStyleInfo name="TableStyleMedium5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8C58C0E5-BCB6-4B0B-A27E-0EF9CDB3D135}" name="Model5136146" displayName="Model5136146" ref="I80:K112" totalsRowShown="0" dataDxfId="126">
  <autoFilter ref="I80:K112" xr:uid="{60489EAB-209D-464C-88CD-E719703A12B4}"/>
  <tableColumns count="3">
    <tableColumn id="1" xr3:uid="{6354990A-5735-4C2B-B068-0F307CE13647}" name="Model" dataDxfId="125"/>
    <tableColumn id="2" xr3:uid="{F60D6E56-0C1B-43C8-8F0D-F3E92897C919}" name="Lumens" dataDxfId="124"/>
    <tableColumn id="3" xr3:uid="{4586D119-A4E5-423A-BF04-FED47BE4E943}" name="Watts" dataDxfId="123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A90D2359-B5ED-4367-87AB-1B688460DD6E}" name="Table2x4134144154164237" displayName="Table2x4134144154164237" ref="BH12:BW23" totalsRowShown="0">
  <autoFilter ref="BH12:BW23" xr:uid="{6654DAAE-A8F9-461D-86CF-EEF45CD70D36}"/>
  <tableColumns count="16">
    <tableColumn id="1" xr3:uid="{C614082D-CF42-4FB9-8414-FEAD97B94044}" name="RCR"/>
    <tableColumn id="2" xr3:uid="{47EA0361-7DBA-4B8C-AA34-202C0CFC4409}" name="CU"/>
    <tableColumn id="3" xr3:uid="{100AB45D-13DA-4D2A-A2FC-557ECD8324F9}" name="CU1"/>
    <tableColumn id="4" xr3:uid="{9E6FDF97-7387-43A6-B5A0-5EEBC76FE133}" name="CU2"/>
    <tableColumn id="5" xr3:uid="{D6440ECF-51D7-473F-8B52-64C7C78AE375}" name="CU3"/>
    <tableColumn id="6" xr3:uid="{3498C399-8E48-4781-9F1C-F727955C6731}" name="CU4"/>
    <tableColumn id="7" xr3:uid="{525C8B79-E749-4AEC-BEB9-900DFB9C9D7D}" name="CU5"/>
    <tableColumn id="8" xr3:uid="{59416DD6-5FCC-4769-BD4E-4EC990754A2A}" name="CU6"/>
    <tableColumn id="9" xr3:uid="{1EDCD332-0C07-4AE3-8D5E-F8BB4DEE4B62}" name="CU7"/>
    <tableColumn id="10" xr3:uid="{97B902C4-7942-4436-9929-040576B4D02C}" name="CU8"/>
    <tableColumn id="11" xr3:uid="{9C9F408D-6C7E-4E12-914C-FA6FD871B1C7}" name="CU9"/>
    <tableColumn id="12" xr3:uid="{7CE76081-8BA1-4089-8722-EF240660BECA}" name="CU10"/>
    <tableColumn id="13" xr3:uid="{BBA586FA-13D0-4660-9339-0E7353566031}" name="CU11"/>
    <tableColumn id="14" xr3:uid="{24D72F1C-BF6E-423D-A7C9-335E06E0A01C}" name="CU12"/>
    <tableColumn id="15" xr3:uid="{68DA25BA-6C27-4883-857E-F6A8DA8C632D}" name="CU13"/>
    <tableColumn id="16" xr3:uid="{6C357B6F-F2D2-4E68-92F2-BC449F15FDBB}" name="CU14"/>
  </tableColumns>
  <tableStyleInfo name="TableStyleMedium2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A6B6E999-CE31-426D-AF94-7DD2BCDEE04F}" name="Table229137147" displayName="Table229137147" ref="N87:N92" totalsRowShown="0">
  <autoFilter ref="N87:N92" xr:uid="{524A0BC1-6214-41C4-BB55-444D7E9AAFA8}"/>
  <tableColumns count="1">
    <tableColumn id="1" xr3:uid="{F1A0ECBF-AA75-4454-B3C5-7EF65CDD7C7F}" name="RC"/>
  </tableColumns>
  <tableStyleInfo name="TableStyleMedium2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FA511176-7B89-4EA6-9196-392E01A00632}" name="Table31015138148" displayName="Table31015138148" ref="O87:O90" totalsRowShown="0">
  <autoFilter ref="O87:O90" xr:uid="{E644E126-0CB4-4B16-A438-11D08E96B6CC}"/>
  <tableColumns count="1">
    <tableColumn id="1" xr3:uid="{563E9420-32C1-47D9-93CA-E68C6EB60917}" name="RW"/>
  </tableColumns>
  <tableStyleInfo name="TableStyleMedium2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679B7B6D-5BD3-49D7-AE63-E867B27BFEE5}" name="Table41116139149" displayName="Table41116139149" ref="P87:P88" totalsRowShown="0">
  <autoFilter ref="P87:P88" xr:uid="{C27751B9-2B6B-4AFC-8DA0-3193C288A08B}"/>
  <tableColumns count="1">
    <tableColumn id="1" xr3:uid="{3291A3FA-37FC-4705-8272-9317C63A54B5}" name="RF"/>
  </tableColumns>
  <tableStyleInfo name="TableStyleMedium2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D285BFE7-F311-4D64-9117-134BFD3DE698}" name="Table81217140150" displayName="Table81217140150" ref="R87:T90" totalsRowShown="0">
  <autoFilter ref="R87:T90" xr:uid="{8E82A350-E297-4703-B135-7BA15B3077C0}"/>
  <tableColumns count="3">
    <tableColumn id="1" xr3:uid="{7D435543-64C4-4D52-96EE-5CBD11219C7C}" name="Size"/>
    <tableColumn id="2" xr3:uid="{E315CE2C-FC30-41A8-9401-3EF305ED9FCE}" name="0-180"/>
    <tableColumn id="3" xr3:uid="{36FE3C0A-268C-4A80-B1A3-34F59F745337}" name="90-270"/>
  </tableColumns>
  <tableStyleInfo name="TableStyleMedium3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DB9B79E2-7CB8-4F89-BE12-FE595DBECA60}" name="Table2x2141151" displayName="Table2x2141151" ref="Z12:AO23" totalsRowShown="0" headerRowDxfId="122" headerRowBorderDxfId="121" tableBorderDxfId="120">
  <autoFilter ref="Z12:AO23" xr:uid="{7D898CA0-2AB7-48D8-8523-94ADF7F85609}"/>
  <tableColumns count="16">
    <tableColumn id="1" xr3:uid="{259266EA-FDFC-4F37-9323-96D246DBD230}" name="RCR"/>
    <tableColumn id="2" xr3:uid="{AEF2794D-2C8F-4D50-9E0A-0ED6D35ED02E}" name="CU"/>
    <tableColumn id="3" xr3:uid="{7296778B-CAA8-4F95-871E-166C9D14F01A}" name="CU1"/>
    <tableColumn id="4" xr3:uid="{09991890-8D46-45AC-B57F-6A0D502A3542}" name="CU2"/>
    <tableColumn id="5" xr3:uid="{4B31A19C-FCB5-49E4-AB57-5E9635CF2B9D}" name="CU3"/>
    <tableColumn id="6" xr3:uid="{52E66EA3-D2EF-44A2-84AB-E4C715E742FF}" name="CU4"/>
    <tableColumn id="7" xr3:uid="{4CA4027F-AB34-4C40-B867-FB150CC39627}" name="CU5"/>
    <tableColumn id="8" xr3:uid="{68154D41-E8CC-4223-BEC2-FF6AE1D73B7D}" name="CU6"/>
    <tableColumn id="9" xr3:uid="{148A4C52-D7B6-4CD8-B70E-77BC155CB5B2}" name="CU7"/>
    <tableColumn id="10" xr3:uid="{87B862E3-5771-4047-A394-CE4B3F999E20}" name="CU8"/>
    <tableColumn id="11" xr3:uid="{1A1FD2EC-AFBE-4A5E-9D65-43C2B8489A7D}" name="CU9"/>
    <tableColumn id="12" xr3:uid="{7C74187E-FFF2-4A4C-987D-3100498334C3}" name="CU10"/>
    <tableColumn id="13" xr3:uid="{900AF9C5-64BC-47CA-AFCA-9F7F6194C33A}" name="CU11"/>
    <tableColumn id="14" xr3:uid="{2D23EAE9-5E69-4C64-A527-FAE51060744F}" name="CU12"/>
    <tableColumn id="15" xr3:uid="{4E12C91D-F02B-4935-95D6-6513500BEC74}" name="CU13"/>
    <tableColumn id="16" xr3:uid="{7D034525-6E95-4CD8-A30B-E591B5777A4D}" name="CU14"/>
  </tableColumns>
  <tableStyleInfo name="TableStyleMedium2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83DFD3D2-5700-487F-A980-55A9CEFFA205}" name="Table1319142152" displayName="Table1319142152" ref="V87:V89" totalsRowShown="0">
  <autoFilter ref="V87:V89" xr:uid="{906F8D5B-E188-4A09-8AB3-EC4630FB1196}"/>
  <tableColumns count="1">
    <tableColumn id="1" xr3:uid="{0B92DCD2-4666-424A-863E-BB1CB112B868}" name="Orientation"/>
  </tableColumns>
  <tableStyleInfo name="TableStyleMedium2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9337E162-49E2-4D7D-AC1F-F24D135E3C27}" name="Table1x4143153" displayName="Table1x4143153" ref="AQ12:BF23" totalsRowShown="0" headerRowDxfId="119" headerRowBorderDxfId="118" tableBorderDxfId="117">
  <autoFilter ref="AQ12:BF23" xr:uid="{39533706-340A-4B99-8072-6D7A862652F4}"/>
  <tableColumns count="16">
    <tableColumn id="1" xr3:uid="{ACF8F369-8A79-4656-94BA-EE3E35F0B330}" name="RCR"/>
    <tableColumn id="2" xr3:uid="{1B40A9C2-3E7B-4181-9459-44CCFE7EB49A}" name="CU"/>
    <tableColumn id="3" xr3:uid="{996588BC-7FB0-49DE-BD29-726963559BE6}" name="CU1"/>
    <tableColumn id="4" xr3:uid="{79BC51EE-DAE5-473D-8BA9-0E1A4746D534}" name="CU2"/>
    <tableColumn id="5" xr3:uid="{76A160F3-B0AA-42F0-BD67-DA2CB8CA228D}" name="CU3"/>
    <tableColumn id="6" xr3:uid="{007B519E-722C-4642-A723-BA36DAB9414A}" name="CU4"/>
    <tableColumn id="7" xr3:uid="{75F834CF-4407-422D-871E-F5D40B3465E2}" name="CU5"/>
    <tableColumn id="8" xr3:uid="{A69F06C4-5810-4AE9-907B-3FAC36D8A4FC}" name="CU6"/>
    <tableColumn id="9" xr3:uid="{4E893E11-3113-4A15-8E72-619F62C45378}" name="CU7"/>
    <tableColumn id="10" xr3:uid="{911A3124-5233-43A1-9984-85D6210DF8C1}" name="CU8"/>
    <tableColumn id="11" xr3:uid="{90F44A61-BE50-43CE-8955-F1F836BF5AF6}" name="CU9"/>
    <tableColumn id="12" xr3:uid="{DE17838D-DFF9-4F06-BE12-10FD08EF88DC}" name="CU10"/>
    <tableColumn id="13" xr3:uid="{0F391A78-AA66-4D04-A0F2-8D232D8E5F2D}" name="CU11"/>
    <tableColumn id="14" xr3:uid="{AC44FD9A-CD01-4D80-80CA-6A340CCB02FF}" name="CU12"/>
    <tableColumn id="15" xr3:uid="{CFC8109E-49F9-435A-BD3B-ACF41CECCE0B}" name="CU13"/>
    <tableColumn id="16" xr3:uid="{14D2601F-0573-4B30-A8CA-B6C37AFE78CB}" name="CU14"/>
  </tableColumns>
  <tableStyleInfo name="TableStyleMedium2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D3901B76-83CB-4F28-BA87-834E6AE70232}" name="Table2x431" displayName="Table2x431" ref="I12:X23" totalsRowShown="0">
  <autoFilter ref="I12:X23" xr:uid="{3261A0F6-56CE-4121-8693-4727BC51A8EC}"/>
  <tableColumns count="16">
    <tableColumn id="1" xr3:uid="{EA6678DA-98C1-44C3-977B-1AB232D1CDF6}" name="RCR"/>
    <tableColumn id="2" xr3:uid="{6FB52323-9A42-47A8-B561-C58AB1C4CEAE}" name="CU"/>
    <tableColumn id="3" xr3:uid="{C80ED774-9ADD-47A5-80A3-536A5F5703F1}" name="CU1"/>
    <tableColumn id="4" xr3:uid="{544572DF-5423-446F-B3B9-0D9F7F79284B}" name="CU2"/>
    <tableColumn id="5" xr3:uid="{36F3C49D-8CEB-4467-8051-638CD3A14449}" name="CU3"/>
    <tableColumn id="6" xr3:uid="{9580A7C4-0A0D-422C-8372-379F1B75BAD8}" name="CU4"/>
    <tableColumn id="7" xr3:uid="{8A6F74FC-A841-4C2C-90DA-53664E965225}" name="CU5"/>
    <tableColumn id="8" xr3:uid="{89EF74EA-7579-4961-BBBE-CA05FD80560E}" name="CU6"/>
    <tableColumn id="9" xr3:uid="{F3659A62-CDCD-496B-A190-B6337D93DF77}" name="CU7"/>
    <tableColumn id="10" xr3:uid="{ECAF7992-AB54-476D-9E2F-97A5B30449C3}" name="CU8"/>
    <tableColumn id="11" xr3:uid="{95A91A29-E14E-4B19-880C-1296B0B02D6F}" name="CU9"/>
    <tableColumn id="12" xr3:uid="{4E8BD37F-9973-45C8-B917-5D8C7BFF4660}" name="CU10"/>
    <tableColumn id="13" xr3:uid="{9394E142-1E42-4E55-A66C-562BE436824E}" name="CU11"/>
    <tableColumn id="14" xr3:uid="{9FF88CC6-AF17-457B-9EA8-31692006A4E0}" name="CU12"/>
    <tableColumn id="15" xr3:uid="{966D40C7-0FB7-44F6-90FD-1391A2E446A0}" name="CU13"/>
    <tableColumn id="16" xr3:uid="{1BF199F4-6B7A-4726-AA5F-20D727187084}" name="CU14"/>
  </tableColumns>
  <tableStyleInfo name="TableStyleMedium2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3CB72A09-2B48-45E0-AE52-FA38DDDA380F}" name="CUtable432" displayName="CUtable432" ref="I32:L77" totalsRowShown="0">
  <autoFilter ref="I32:L77" xr:uid="{1895C869-D44F-4135-9B0B-1FC54B546AC1}"/>
  <tableColumns count="4">
    <tableColumn id="1" xr3:uid="{30305B22-34B8-46E7-9BA8-9EBDE3FA4C0C}" name="RC"/>
    <tableColumn id="2" xr3:uid="{FC806602-CF07-4373-985F-9B412886C362}" name="RW"/>
    <tableColumn id="4" xr3:uid="{EFA3A3A7-7FCC-41B6-B3D0-A12B8B2281A2}" name="Size"/>
    <tableColumn id="3" xr3:uid="{CBF05A8E-0CE0-41D8-ADFC-58D2480DB884}" name="CU"/>
  </tableColumns>
  <tableStyleInfo name="TableStyleMedium5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C7DADEC-863F-4666-8A55-2A3BE036A098}" name="Model533" displayName="Model533" ref="I80:K168" totalsRowShown="0" headerRowDxfId="114" dataDxfId="113">
  <autoFilter ref="I80:K168" xr:uid="{60489EAB-209D-464C-88CD-E719703A12B4}"/>
  <tableColumns count="3">
    <tableColumn id="1" xr3:uid="{193B8B67-6E00-4842-8EDF-8F8ED177E282}" name="Model" dataDxfId="112"/>
    <tableColumn id="2" xr3:uid="{D1B768DF-ADE9-40D0-A263-3F0E0F288C75}" name="Lumens" dataDxfId="111"/>
    <tableColumn id="3" xr3:uid="{9EB2A72E-1DC6-49A9-8B53-C2927F6456E5}" name="Watts" dataDxfId="110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759486A0-46E8-4C1A-9744-A50283516202}" name="Table2x4134144154165238" displayName="Table2x4134144154165238" ref="BY12:CN23" totalsRowShown="0">
  <autoFilter ref="BY12:CN23" xr:uid="{B2AAB78B-A2AB-4BA2-96F9-B54D042799EC}"/>
  <tableColumns count="16">
    <tableColumn id="1" xr3:uid="{78435D12-DAB0-4773-9BCC-B858825F73BA}" name="RCR"/>
    <tableColumn id="2" xr3:uid="{53A7A89F-3A3D-49C1-8AB9-E94A90F75E58}" name="CU"/>
    <tableColumn id="3" xr3:uid="{D1D0A149-E915-49DE-BC1B-FE6BCEECC745}" name="CU1"/>
    <tableColumn id="4" xr3:uid="{44EE3F27-1C33-44D7-B33A-463AAE131C99}" name="CU2"/>
    <tableColumn id="5" xr3:uid="{9931366F-986F-4D44-847A-5B34FF26A34D}" name="CU3"/>
    <tableColumn id="6" xr3:uid="{4BB40743-A39F-467F-841B-CEF965034E11}" name="CU4"/>
    <tableColumn id="7" xr3:uid="{3E1FD54A-281A-4DD0-9A44-943A191033ED}" name="CU5"/>
    <tableColumn id="8" xr3:uid="{FBC6F8A4-81B3-4638-97C2-EF48E2F9385B}" name="CU6"/>
    <tableColumn id="9" xr3:uid="{74119F56-0136-4B34-9607-01885BC2836D}" name="CU7"/>
    <tableColumn id="10" xr3:uid="{1C2586A3-927D-449E-A927-4692C66617F6}" name="CU8"/>
    <tableColumn id="11" xr3:uid="{66790661-E99A-4A36-B44C-C424A7E83D39}" name="CU9"/>
    <tableColumn id="12" xr3:uid="{9AC01E9B-9A76-4D94-BA44-5DB10C67904A}" name="CU10"/>
    <tableColumn id="13" xr3:uid="{ACD97D2A-C4A0-4676-AC3E-D7F1AF6A92E2}" name="CU11"/>
    <tableColumn id="14" xr3:uid="{E19DA1F9-0E02-49BB-96C4-D990C574C299}" name="CU12"/>
    <tableColumn id="15" xr3:uid="{3D51273C-756F-453F-9CD2-59CC1AE7126D}" name="CU13"/>
    <tableColumn id="16" xr3:uid="{AE0DF33D-D9DF-4D0E-BAFB-A032645DDB6A}" name="CU14"/>
  </tableColumns>
  <tableStyleInfo name="TableStyleMedium2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12A8C01A-BC48-4859-BF51-E3F638D94019}" name="Table22934" displayName="Table22934" ref="N87:N92" totalsRowShown="0">
  <autoFilter ref="N87:N92" xr:uid="{524A0BC1-6214-41C4-BB55-444D7E9AAFA8}"/>
  <tableColumns count="1">
    <tableColumn id="1" xr3:uid="{DBFF1020-53D8-40E5-A48C-437613C1920B}" name="RC"/>
  </tableColumns>
  <tableStyleInfo name="TableStyleMedium2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6E2CB3C-039F-4D54-9941-970627D35954}" name="Table3101535" displayName="Table3101535" ref="O87:O90" totalsRowShown="0">
  <autoFilter ref="O87:O90" xr:uid="{E644E126-0CB4-4B16-A438-11D08E96B6CC}"/>
  <tableColumns count="1">
    <tableColumn id="1" xr3:uid="{60A98C98-B26D-4334-83C8-2A5876B30378}" name="RW"/>
  </tableColumns>
  <tableStyleInfo name="TableStyleMedium2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CCD89EB-651C-4379-BF96-C09A0912647B}" name="Table4111636" displayName="Table4111636" ref="P87:P88" totalsRowShown="0">
  <autoFilter ref="P87:P88" xr:uid="{C27751B9-2B6B-4AFC-8DA0-3193C288A08B}"/>
  <tableColumns count="1">
    <tableColumn id="1" xr3:uid="{EA20BD10-0411-4039-A405-C7F4820F3B21}" name="RF"/>
  </tableColumns>
  <tableStyleInfo name="TableStyleMedium2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F16599E0-EB68-4E61-9E74-DDADC56E0AEB}" name="Table8121737" displayName="Table8121737" ref="R87:T90" totalsRowShown="0">
  <autoFilter ref="R87:T90" xr:uid="{8E82A350-E297-4703-B135-7BA15B3077C0}"/>
  <tableColumns count="3">
    <tableColumn id="1" xr3:uid="{12A463EB-4F62-42C9-91B6-6FF908353B1E}" name="Size"/>
    <tableColumn id="2" xr3:uid="{7D16C6C7-9A0C-46C4-B8D4-C1A335EBA291}" name="0-180"/>
    <tableColumn id="3" xr3:uid="{9DC0EC1C-CC66-4EDE-8BA1-26A23790519C}" name="90-270"/>
  </tableColumns>
  <tableStyleInfo name="TableStyleMedium3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6525616-93D9-493B-93C6-F872667B33DD}" name="Table2x238" displayName="Table2x238" ref="Z12:AO23" totalsRowShown="0" headerRowDxfId="109" headerRowBorderDxfId="108" tableBorderDxfId="107">
  <autoFilter ref="Z12:AO23" xr:uid="{7D898CA0-2AB7-48D8-8523-94ADF7F85609}"/>
  <tableColumns count="16">
    <tableColumn id="1" xr3:uid="{ACE77536-F129-4EA8-9A72-2AF50065A928}" name="RCR"/>
    <tableColumn id="2" xr3:uid="{475E0262-107D-4A1B-AC16-F77DE88E65D8}" name="CU"/>
    <tableColumn id="3" xr3:uid="{C92A23B1-ADFF-46F3-85F5-D8DF6AC5868D}" name="CU1"/>
    <tableColumn id="4" xr3:uid="{7C1D79D3-003C-4AFA-9676-22C5E8181E95}" name="CU2"/>
    <tableColumn id="5" xr3:uid="{30953001-0C26-4292-BB42-4571683B8494}" name="CU3"/>
    <tableColumn id="6" xr3:uid="{AF7B495A-F77B-4A57-A1F5-77C795AD3860}" name="CU4"/>
    <tableColumn id="7" xr3:uid="{4E8ADB05-6534-41CE-9F48-903BA3F4858E}" name="CU5"/>
    <tableColumn id="8" xr3:uid="{F6871902-278B-4AEE-B427-45C8866C82DE}" name="CU6"/>
    <tableColumn id="9" xr3:uid="{78FC81A3-1870-47A8-9C4B-0A69EE0504A2}" name="CU7"/>
    <tableColumn id="10" xr3:uid="{7968D78D-4840-4E65-BA11-8234C89BA5FD}" name="CU8"/>
    <tableColumn id="11" xr3:uid="{F91A9C2B-F5C6-4E26-8E81-AB8FFFA24F35}" name="CU9"/>
    <tableColumn id="12" xr3:uid="{3BD59A8F-D13C-45A9-82E0-1BCC360769A1}" name="CU10"/>
    <tableColumn id="13" xr3:uid="{0C8D4A9F-1C20-4AB9-BBF3-A8DB27EB9B8E}" name="CU11"/>
    <tableColumn id="14" xr3:uid="{C06FC128-9EC3-4F5A-AF9E-3112F9F770F7}" name="CU12"/>
    <tableColumn id="15" xr3:uid="{60A4C15C-802D-4D01-A50E-CDA1AD043B88}" name="CU13"/>
    <tableColumn id="16" xr3:uid="{0DAC7F3F-8F39-4C54-9B58-0DC2A488FF71}" name="CU14"/>
  </tableColumns>
  <tableStyleInfo name="TableStyleMedium2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4EB18822-B8CA-49C4-9807-CFF72D084CE6}" name="Table131939" displayName="Table131939" ref="V87:V89" totalsRowShown="0">
  <autoFilter ref="V87:V89" xr:uid="{906F8D5B-E188-4A09-8AB3-EC4630FB1196}"/>
  <tableColumns count="1">
    <tableColumn id="1" xr3:uid="{E6F77BE4-F6FB-4C30-A99E-2485F0B78CC8}" name="Orientation"/>
  </tableColumns>
  <tableStyleInfo name="TableStyleMedium2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A629F944-9895-45A4-B8D3-0BF82A2D79CA}" name="Table1x440" displayName="Table1x440" ref="AQ12:BF23" totalsRowShown="0" headerRowDxfId="106" headerRowBorderDxfId="105" tableBorderDxfId="104">
  <autoFilter ref="AQ12:BF23" xr:uid="{39533706-340A-4B99-8072-6D7A862652F4}"/>
  <tableColumns count="16">
    <tableColumn id="1" xr3:uid="{C3FBC270-7345-4946-935E-2A4D00A1809B}" name="RCR"/>
    <tableColumn id="2" xr3:uid="{7BDA07F2-5890-484E-91D2-DFC732C57259}" name="CU"/>
    <tableColumn id="3" xr3:uid="{B8EAADD1-015E-4AC4-96F3-67B416D2DF38}" name="CU1"/>
    <tableColumn id="4" xr3:uid="{6B94724A-B11B-489E-8045-3CEFB8386637}" name="CU2"/>
    <tableColumn id="5" xr3:uid="{3D142B8E-C101-4E83-8363-5D6B05967E76}" name="CU3"/>
    <tableColumn id="6" xr3:uid="{C29C1A50-A0F3-4B86-A611-2F820166A9EE}" name="CU4"/>
    <tableColumn id="7" xr3:uid="{ABA95FE7-C98B-4CB1-8422-4C6F460A0F67}" name="CU5"/>
    <tableColumn id="8" xr3:uid="{1E6F74A2-AFFC-4354-9EA3-39E5D99CF155}" name="CU6"/>
    <tableColumn id="9" xr3:uid="{96978070-ABF2-4168-AFE1-B3E8180D7719}" name="CU7"/>
    <tableColumn id="10" xr3:uid="{6CD0CB73-414A-4CD8-96EE-5AD05E159BB3}" name="CU8"/>
    <tableColumn id="11" xr3:uid="{D5E5B425-8449-484B-B504-F42958373E4B}" name="CU9"/>
    <tableColumn id="12" xr3:uid="{6FFD62DB-7E65-4A68-8521-73C4FFEA30FA}" name="CU10"/>
    <tableColumn id="13" xr3:uid="{F6BF82B6-8CC5-4A34-83D3-E774BA566E7B}" name="CU11"/>
    <tableColumn id="14" xr3:uid="{007E70C1-9D76-4409-8BEC-C3887E5C63E2}" name="CU12"/>
    <tableColumn id="15" xr3:uid="{35D5E493-D081-4777-B8ED-EEB34FCB8013}" name="CU13"/>
    <tableColumn id="16" xr3:uid="{1132F454-0B17-4567-BFD1-A2D512B0213F}" name="CU14"/>
  </tableColumns>
  <tableStyleInfo name="TableStyleMedium2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9FC1E73-8DBF-4AB1-A725-75ECECA316A3}" name="TablePBL51" displayName="TablePBL51" ref="I12:X23" totalsRowShown="0">
  <autoFilter ref="I12:X23" xr:uid="{3261A0F6-56CE-4121-8693-4727BC51A8EC}"/>
  <tableColumns count="16">
    <tableColumn id="1" xr3:uid="{839F4640-2AC9-4924-A20D-AA59EA6618FE}" name="RCR"/>
    <tableColumn id="2" xr3:uid="{E4100EFA-4F83-4039-8846-616C6C56521D}" name="CU"/>
    <tableColumn id="3" xr3:uid="{7A1E6148-B717-4B64-89D9-8F29385FFA32}" name="CU1"/>
    <tableColumn id="4" xr3:uid="{D4D26D5C-3269-4A5A-8DFF-F61DFE867B79}" name="CU2"/>
    <tableColumn id="5" xr3:uid="{23989D4B-92B5-453F-B609-14E5E21F9E19}" name="CU3"/>
    <tableColumn id="6" xr3:uid="{AF3E1129-A0A9-4A69-AE55-CEC847C8DA68}" name="CU4"/>
    <tableColumn id="7" xr3:uid="{E9221259-21AD-4A84-A165-EBA99E316587}" name="CU5"/>
    <tableColumn id="8" xr3:uid="{8CEE7419-BDC8-431C-988D-F66AF8101072}" name="CU6"/>
    <tableColumn id="9" xr3:uid="{7B35CCFC-5F6B-4413-B364-0E15CE3EB863}" name="CU7"/>
    <tableColumn id="10" xr3:uid="{730A516C-AB75-444B-9C08-62243F831ADF}" name="CU8"/>
    <tableColumn id="11" xr3:uid="{E665552D-9260-4AA2-A307-AEB874B75B2F}" name="CU9"/>
    <tableColumn id="12" xr3:uid="{A229D83C-AEBB-4E6E-B019-FF6000D93646}" name="CU10"/>
    <tableColumn id="13" xr3:uid="{378FAF54-9D38-463F-9BD5-82DAF51EE619}" name="CU11"/>
    <tableColumn id="14" xr3:uid="{B0CD6827-25BE-4DA7-AE0A-753460AAD862}" name="CU12"/>
    <tableColumn id="15" xr3:uid="{6AF7182F-F3BC-4FC7-8A28-719EB3CE9261}" name="CU13"/>
    <tableColumn id="16" xr3:uid="{46669BC3-56F0-4F60-8198-07B7E338C910}" name="CU14"/>
  </tableColumns>
  <tableStyleInfo name="TableStyleMedium2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09B6881-443E-4EDE-AC6B-E777170405A6}" name="CUtable42252" displayName="CUtable42252" ref="I32:L77" totalsRowShown="0">
  <autoFilter ref="I32:L77" xr:uid="{1895C869-D44F-4135-9B0B-1FC54B546AC1}"/>
  <tableColumns count="4">
    <tableColumn id="1" xr3:uid="{7211A483-CD83-4B42-933C-ACC64B4A1C88}" name="RC"/>
    <tableColumn id="2" xr3:uid="{2C666358-A339-4269-92CB-5C76FBEC2E13}" name="RW"/>
    <tableColumn id="4" xr3:uid="{1D1E3ABC-AB1F-4C71-A990-65B603A8ACF1}" name="FR"/>
    <tableColumn id="3" xr3:uid="{CBD6698D-9D64-4809-B6F3-F7BD187F1660}" name="CU"/>
  </tableColumns>
  <tableStyleInfo name="TableStyleMedium5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10DDC3F5-EB85-466D-8F53-EC18DBD2767E}" name="Model52353" displayName="Model52353" ref="I80:K224" totalsRowShown="0">
  <autoFilter ref="I80:K224" xr:uid="{60489EAB-209D-464C-88CD-E719703A12B4}"/>
  <tableColumns count="3">
    <tableColumn id="1" xr3:uid="{AF6CBE49-C67C-41F1-94DF-3AEF99DD7822}" name="Model" dataDxfId="101"/>
    <tableColumn id="2" xr3:uid="{10CFB5AB-8FA1-48D8-AA76-2AD4DD2523D5}" name="Lumens" dataDxfId="100"/>
    <tableColumn id="3" xr3:uid="{B308736C-D63F-42D8-81E1-C6E9FE6357BF}" name="Watts" dataDxfId="99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3367FAF7-5CCE-4000-BE88-F6BCEDF0FC0A}" name="Table2x4134144154166239" displayName="Table2x4134144154166239" ref="CP12:DE23" totalsRowShown="0">
  <autoFilter ref="CP12:DE23" xr:uid="{3A175780-70AB-4C4E-8F4E-2457FBD188AC}"/>
  <tableColumns count="16">
    <tableColumn id="1" xr3:uid="{D33B281F-EDE9-4AEB-8895-0A554ACB0150}" name="RCR"/>
    <tableColumn id="2" xr3:uid="{584055F4-75FD-4CBD-BC97-E314D5D776C3}" name="CU"/>
    <tableColumn id="3" xr3:uid="{7A87A672-A4F0-465C-967A-4D380DCC824B}" name="CU1"/>
    <tableColumn id="4" xr3:uid="{958BE020-60E0-4C61-9AC8-2D7E21877078}" name="CU2"/>
    <tableColumn id="5" xr3:uid="{88CC862F-9BE5-40E1-A3C0-CACD1C96C820}" name="CU3"/>
    <tableColumn id="6" xr3:uid="{0F39734B-BC19-4C6B-9FC6-417D38204025}" name="CU4"/>
    <tableColumn id="7" xr3:uid="{5022733D-B108-438B-89B1-4424CC8D0AAC}" name="CU5"/>
    <tableColumn id="8" xr3:uid="{AFEF2A70-F197-47A3-BBF0-AD150788CD60}" name="CU6"/>
    <tableColumn id="9" xr3:uid="{EA7B9878-6FC9-4473-9552-767287BC6C7E}" name="CU7"/>
    <tableColumn id="10" xr3:uid="{F01BFC85-EBC1-4E7F-990F-56472E764BA9}" name="CU8"/>
    <tableColumn id="11" xr3:uid="{B71C1BF2-B26C-4ACC-8DD6-1A965ADC72C5}" name="CU9"/>
    <tableColumn id="12" xr3:uid="{82E342E5-C2E7-4881-9E43-572BADDD3339}" name="CU10"/>
    <tableColumn id="13" xr3:uid="{02D2A79A-EB7D-473C-95BE-5DC782ED8F08}" name="CU11"/>
    <tableColumn id="14" xr3:uid="{76E11C0A-B197-44CD-B905-6117D52B603E}" name="CU12"/>
    <tableColumn id="15" xr3:uid="{69F1683C-2283-427B-BF70-49CFF45967D4}" name="CU13"/>
    <tableColumn id="16" xr3:uid="{D7C020E3-9552-4B64-8272-2DB901012231}" name="CU14"/>
  </tableColumns>
  <tableStyleInfo name="TableStyleMedium2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5E44769-39D5-47F6-B7CB-5866DDEF8C8A}" name="Table2292454" displayName="Table2292454" ref="N87:N92" totalsRowShown="0">
  <autoFilter ref="N87:N92" xr:uid="{524A0BC1-6214-41C4-BB55-444D7E9AAFA8}"/>
  <tableColumns count="1">
    <tableColumn id="1" xr3:uid="{25E62EC6-9306-43D0-929B-6B8E16FA787A}" name="RC"/>
  </tableColumns>
  <tableStyleInfo name="TableStyleMedium2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F9898FE0-B9F1-4713-A433-EE34FFB264F9}" name="Table310152555" displayName="Table310152555" ref="O87:O90" totalsRowShown="0">
  <autoFilter ref="O87:O90" xr:uid="{E644E126-0CB4-4B16-A438-11D08E96B6CC}"/>
  <tableColumns count="1">
    <tableColumn id="1" xr3:uid="{4EFD9A1A-FE16-4EC9-9E54-C64083A4B7C7}" name="RW"/>
  </tableColumns>
  <tableStyleInfo name="TableStyleMedium2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8CD75384-0678-41A9-B95B-4E87F5DD961A}" name="Table411162656" displayName="Table411162656" ref="P87:P88" totalsRowShown="0">
  <autoFilter ref="P87:P88" xr:uid="{C27751B9-2B6B-4AFC-8DA0-3193C288A08B}"/>
  <tableColumns count="1">
    <tableColumn id="1" xr3:uid="{7B8B4C6D-190B-485B-BF33-4D42CDB71F9A}" name="RF"/>
  </tableColumns>
  <tableStyleInfo name="TableStyleMedium2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E4ED1ACE-DC6B-4DDC-915C-97F0D008C4B7}" name="Table812172757" displayName="Table812172757" ref="R87:T89" totalsRowShown="0">
  <autoFilter ref="R87:T89" xr:uid="{8E82A350-E297-4703-B135-7BA15B3077C0}"/>
  <tableColumns count="3">
    <tableColumn id="1" xr3:uid="{37FACE55-39D8-472A-B290-8FB452D5A52B}" name="FR"/>
    <tableColumn id="2" xr3:uid="{894C8CE8-BE12-4A9F-8F76-607146E0DE30}" name="0-180"/>
    <tableColumn id="3" xr3:uid="{010A9672-44C7-4536-A0E4-BAFFA3F6D9CE}" name="90-270"/>
  </tableColumns>
  <tableStyleInfo name="TableStyleMedium3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CC950121-1091-476B-8482-07F2C9ECDA6F}" name="TablePBLFR58" displayName="TablePBLFR58" ref="Z12:AO23" totalsRowShown="0" headerRowDxfId="98" headerRowBorderDxfId="97" tableBorderDxfId="96">
  <autoFilter ref="Z12:AO23" xr:uid="{7D898CA0-2AB7-48D8-8523-94ADF7F85609}"/>
  <tableColumns count="16">
    <tableColumn id="1" xr3:uid="{CB2D9C03-7AE2-402D-A1FD-197270E9B708}" name="RCR"/>
    <tableColumn id="2" xr3:uid="{C4C9A8CF-3574-4DB4-8CA7-9957541C54A0}" name="CU"/>
    <tableColumn id="3" xr3:uid="{B8076FF0-CC7B-4309-AE5C-7F1907ECB701}" name="CU1"/>
    <tableColumn id="4" xr3:uid="{4BF72D5E-B92F-4076-9E15-04005FBC2D24}" name="CU2"/>
    <tableColumn id="5" xr3:uid="{E2AE0C8B-3A83-4047-AF3B-91A9511A9742}" name="CU3"/>
    <tableColumn id="6" xr3:uid="{687F2A99-CFBA-4CAE-8527-127F95F177EE}" name="CU4"/>
    <tableColumn id="7" xr3:uid="{BB1E3F79-B041-44CE-9910-412CE259797D}" name="CU5"/>
    <tableColumn id="8" xr3:uid="{74EF9F77-31DB-4AF1-849E-6A7FB5CF0873}" name="CU6"/>
    <tableColumn id="9" xr3:uid="{9E7493A7-50B7-40BB-89A8-31039B52397D}" name="CU7"/>
    <tableColumn id="10" xr3:uid="{C59D911F-8CC4-4062-A49F-920B75D6B2E4}" name="CU8"/>
    <tableColumn id="11" xr3:uid="{E0853B73-7E2B-45CE-9F8A-B48AC9250264}" name="CU9"/>
    <tableColumn id="12" xr3:uid="{5B794280-DE1B-4F9A-8206-627E8D6DD340}" name="CU10"/>
    <tableColumn id="13" xr3:uid="{BD063C40-7D7E-4E08-941A-6C771A6EA780}" name="CU11"/>
    <tableColumn id="14" xr3:uid="{326B6E78-1A94-49B7-B6C8-F14154C1C910}" name="CU12"/>
    <tableColumn id="15" xr3:uid="{D5244439-3F85-4266-9D58-4E3E9ACFAA00}" name="CU13"/>
    <tableColumn id="16" xr3:uid="{065C72CC-BBEB-4E1F-BCD5-5B7FE83B3FA5}" name="CU14"/>
  </tableColumns>
  <tableStyleInfo name="TableStyleMedium2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D94784A9-23A3-4490-BE55-78AC752B28D8}" name="Table13192959" displayName="Table13192959" ref="V87:V89" totalsRowShown="0">
  <autoFilter ref="V87:V89" xr:uid="{906F8D5B-E188-4A09-8AB3-EC4630FB1196}"/>
  <tableColumns count="1">
    <tableColumn id="1" xr3:uid="{E72C93AA-7679-4C10-9701-6ACA610ECE47}" name="Orientation"/>
  </tableColumns>
  <tableStyleInfo name="TableStyleMedium2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7F192B9-C583-44A4-97F3-79758B525FD5}" name="Table1x43060" displayName="Table1x43060" ref="AQ12:BF23" totalsRowShown="0" headerRowDxfId="95" headerRowBorderDxfId="94" tableBorderDxfId="93">
  <autoFilter ref="AQ12:BF23" xr:uid="{39533706-340A-4B99-8072-6D7A862652F4}"/>
  <tableColumns count="16">
    <tableColumn id="1" xr3:uid="{63AB1562-C316-4980-8EB6-FBB1204064B3}" name="RCR"/>
    <tableColumn id="2" xr3:uid="{9A479961-B79E-4CDC-9614-7C36423854BD}" name="CU"/>
    <tableColumn id="3" xr3:uid="{04696467-A72A-4926-A304-BA518CA6132A}" name="CU1"/>
    <tableColumn id="4" xr3:uid="{55302EED-4250-4385-9EEF-8328D81AF376}" name="CU2"/>
    <tableColumn id="5" xr3:uid="{D245742B-D927-49CD-8425-2F54F84E69C7}" name="CU3"/>
    <tableColumn id="6" xr3:uid="{77C1AD26-6481-4998-98A4-DA8E80D43D40}" name="CU4"/>
    <tableColumn id="7" xr3:uid="{29EF7A01-1C5A-4D64-8FD5-8B64A66597AD}" name="CU5"/>
    <tableColumn id="8" xr3:uid="{AD75C49B-5026-42A5-A7D7-9162D904AD61}" name="CU6"/>
    <tableColumn id="9" xr3:uid="{AD4FD7A6-5AF9-4407-B6D4-93DD6C4027AF}" name="CU7"/>
    <tableColumn id="10" xr3:uid="{1AC62B2F-9BB4-4256-8EE4-ADDA04615EB2}" name="CU8"/>
    <tableColumn id="11" xr3:uid="{B8809773-1766-461F-B2B4-FF04A9256AA7}" name="CU9"/>
    <tableColumn id="12" xr3:uid="{011D47DE-ED7F-4CA9-B4FD-E331D925BEEF}" name="CU10"/>
    <tableColumn id="13" xr3:uid="{40E95FED-1C66-4534-B018-771CAB174C90}" name="CU11"/>
    <tableColumn id="14" xr3:uid="{65E24B0D-A8CA-496E-AE55-36827B72BE04}" name="CU12"/>
    <tableColumn id="15" xr3:uid="{D9246A82-1C26-4DCB-BC19-0D44E43C2747}" name="CU13"/>
    <tableColumn id="16" xr3:uid="{9E0EC471-2DBB-4E83-8506-7D444528F781}" name="CU14"/>
  </tableColumns>
  <tableStyleInfo name="TableStyleMedium2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34020B5D-6433-4BE1-9218-5EF6CFE7E0EF}" name="TablePBL5161" displayName="TablePBL5161" ref="I12:X23" totalsRowShown="0">
  <autoFilter ref="I12:X23" xr:uid="{3261A0F6-56CE-4121-8693-4727BC51A8EC}"/>
  <tableColumns count="16">
    <tableColumn id="1" xr3:uid="{D8092AC1-91EF-40AB-993E-E1F8411A97DD}" name="RCR"/>
    <tableColumn id="2" xr3:uid="{F351DE86-3572-42D7-A138-DC479FC37B54}" name="CU"/>
    <tableColumn id="3" xr3:uid="{1655C52E-ECEB-4C21-B61B-A782ACF8D3E5}" name="CU1"/>
    <tableColumn id="4" xr3:uid="{9BF45D77-B153-4C6F-9F67-70622840C2EA}" name="CU2"/>
    <tableColumn id="5" xr3:uid="{D83DFBE0-932C-4EA2-9820-1A5220ED8794}" name="CU3"/>
    <tableColumn id="6" xr3:uid="{298CCF50-6A47-4648-99A7-0BE73D0D1BF0}" name="CU4"/>
    <tableColumn id="7" xr3:uid="{64CA3C40-3638-46C4-8D5C-73D95167F686}" name="CU5"/>
    <tableColumn id="8" xr3:uid="{28DE40AE-63A8-4562-B75D-C524D5E8BAF7}" name="CU6"/>
    <tableColumn id="9" xr3:uid="{CE96832A-DDDA-400D-87DD-DCF28E7BFA9A}" name="CU7"/>
    <tableColumn id="10" xr3:uid="{B0B539A4-F870-49FC-A9D9-351CDD42878D}" name="CU8"/>
    <tableColumn id="11" xr3:uid="{90F7FA98-C565-4B58-871C-BD2246218D1E}" name="CU9"/>
    <tableColumn id="12" xr3:uid="{B6CE6008-D4AF-42B0-B0FC-28749AC15588}" name="CU10"/>
    <tableColumn id="13" xr3:uid="{3C6B373C-4894-40B9-83E7-9462F26F8084}" name="CU11"/>
    <tableColumn id="14" xr3:uid="{0A0AB2C7-5551-4929-A081-F3A539D40B9D}" name="CU12"/>
    <tableColumn id="15" xr3:uid="{87780CFB-AB79-483B-B9DA-A0BAEED82D65}" name="CU13"/>
    <tableColumn id="16" xr3:uid="{5875CDCA-C072-44B7-A780-383B6A414A83}" name="CU14"/>
  </tableColumns>
  <tableStyleInfo name="TableStyleMedium2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738A815C-F8F9-4148-AAC6-9FE627E7E07A}" name="CUtable4225262" displayName="CUtable4225262" ref="I32:L77" totalsRowShown="0">
  <autoFilter ref="I32:L77" xr:uid="{1895C869-D44F-4135-9B0B-1FC54B546AC1}"/>
  <tableColumns count="4">
    <tableColumn id="1" xr3:uid="{E28E08AE-6DE7-47B6-848B-A0315CEAC39C}" name="RC"/>
    <tableColumn id="2" xr3:uid="{BEF377F7-12B6-40A9-8345-943D052B1EFA}" name="RW"/>
    <tableColumn id="4" xr3:uid="{5A7C2296-70E3-4900-8C19-39AF727F0D69}" name="FR"/>
    <tableColumn id="3" xr3:uid="{8EEF439F-4CF2-445A-9376-DB63293A6B4F}" name="CU"/>
  </tableColumns>
  <tableStyleInfo name="TableStyleMedium5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726BF720-8616-4115-ADBC-53FDA854A542}" name="Model5235363" displayName="Model5235363" ref="I80:K224" totalsRowShown="0">
  <autoFilter ref="I80:K224" xr:uid="{60489EAB-209D-464C-88CD-E719703A12B4}"/>
  <tableColumns count="3">
    <tableColumn id="1" xr3:uid="{07C904D2-6EF8-44A3-A4F5-4CC350FC1011}" name="Model" dataDxfId="90"/>
    <tableColumn id="2" xr3:uid="{55BB19BB-0B92-454F-A785-24C052F0F4A1}" name="Lumens" dataDxfId="89"/>
    <tableColumn id="3" xr3:uid="{232C75DF-8F8B-44CE-BA96-2D6E4BF454B3}" name="Watts" dataDxfId="8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7AF6824C-3631-488A-A98D-E7ADAA335CA6}" name="TablePBL91" displayName="TablePBL91" ref="I12:X23" totalsRowShown="0">
  <autoFilter ref="I12:X23" xr:uid="{3261A0F6-56CE-4121-8693-4727BC51A8EC}"/>
  <tableColumns count="16">
    <tableColumn id="1" xr3:uid="{20EFB0AC-6941-4F84-828E-E41F370FC73E}" name="RCR"/>
    <tableColumn id="2" xr3:uid="{9C5784B8-F38F-49A8-A8D4-37F33045B263}" name="CU"/>
    <tableColumn id="3" xr3:uid="{A4CE3D90-EDD6-4646-B16D-0B965E339AB0}" name="CU1"/>
    <tableColumn id="4" xr3:uid="{92627838-F363-4E58-B52C-40FB3627456A}" name="CU2"/>
    <tableColumn id="5" xr3:uid="{93F12139-885E-4211-96F7-BF0B3100AE93}" name="CU3"/>
    <tableColumn id="6" xr3:uid="{EBA8AC97-EED2-454B-983F-D6CD9DD57F85}" name="CU4"/>
    <tableColumn id="7" xr3:uid="{326DB4BE-BD91-4267-8DDE-DBB7BD7F6370}" name="CU5"/>
    <tableColumn id="8" xr3:uid="{FEE96C8D-9042-4FF7-B1F9-E33462BD583F}" name="CU6"/>
    <tableColumn id="9" xr3:uid="{053E3776-AD24-49FC-8211-5B7E5CE50BEF}" name="CU7"/>
    <tableColumn id="10" xr3:uid="{3C202718-17FF-4759-A118-BD923858F48C}" name="CU8"/>
    <tableColumn id="11" xr3:uid="{86992A1C-5416-49B5-9B9E-5B8CCD8F57D3}" name="CU9"/>
    <tableColumn id="12" xr3:uid="{683124E8-9DF2-465B-B92D-383615509695}" name="CU10"/>
    <tableColumn id="13" xr3:uid="{0301C200-5AB6-4595-B188-AF92900F54AA}" name="CU11"/>
    <tableColumn id="14" xr3:uid="{C4EDF226-456F-4A86-9670-C6F6C25C04B5}" name="CU12"/>
    <tableColumn id="15" xr3:uid="{B7FC2D8E-FA1E-481B-B8B5-95AB2305E17C}" name="CU13"/>
    <tableColumn id="16" xr3:uid="{68BAD090-83DF-4096-AFB8-DF6100FBB9C6}" name="CU14"/>
  </tableColumns>
  <tableStyleInfo name="TableStyleMedium2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FFEB9D3-FFA3-4D32-AA9F-DC5F7E07EA1E}" name="Table229245464" displayName="Table229245464" ref="N80:N85" totalsRowShown="0">
  <autoFilter ref="N80:N85" xr:uid="{524A0BC1-6214-41C4-BB55-444D7E9AAFA8}"/>
  <tableColumns count="1">
    <tableColumn id="1" xr3:uid="{59D500A3-E246-49AB-960C-FCE7679EC192}" name="RC"/>
  </tableColumns>
  <tableStyleInfo name="TableStyleMedium2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DB36C039-2758-460F-B7D2-EA501CB0B963}" name="Table31015255565" displayName="Table31015255565" ref="O80:O83" totalsRowShown="0">
  <autoFilter ref="O80:O83" xr:uid="{E644E126-0CB4-4B16-A438-11D08E96B6CC}"/>
  <tableColumns count="1">
    <tableColumn id="1" xr3:uid="{23121601-3404-4018-9CC2-734315C8A616}" name="RW"/>
  </tableColumns>
  <tableStyleInfo name="TableStyleMedium2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FC5B2BF-76A0-4421-AE24-FB59E7829E77}" name="Table41116265666" displayName="Table41116265666" ref="P80:P81" totalsRowShown="0">
  <autoFilter ref="P80:P81" xr:uid="{C27751B9-2B6B-4AFC-8DA0-3193C288A08B}"/>
  <tableColumns count="1">
    <tableColumn id="1" xr3:uid="{6140972B-F6B7-4449-AB2A-24867408F3FE}" name="RF"/>
  </tableColumns>
  <tableStyleInfo name="TableStyleMedium2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ADA1D56F-E1AB-4235-A392-F0801B281EBA}" name="Table81217275767" displayName="Table81217275767" ref="R80:T82" totalsRowShown="0">
  <autoFilter ref="R80:T82" xr:uid="{8E82A350-E297-4703-B135-7BA15B3077C0}"/>
  <tableColumns count="3">
    <tableColumn id="1" xr3:uid="{45EDE46F-7A2C-40D1-8F79-6BFB55EB2FE5}" name="FR"/>
    <tableColumn id="2" xr3:uid="{90E4E9D0-37B2-4023-97B1-08B02BE52DE8}" name="0-180"/>
    <tableColumn id="3" xr3:uid="{94FA2AF1-8CD0-46AE-8D09-3539E86F7666}" name="90-270"/>
  </tableColumns>
  <tableStyleInfo name="TableStyleMedium3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B45CB4B-DCE1-4381-B94C-89279CA64DCF}" name="TablePBLFR5868" displayName="TablePBLFR5868" ref="Z12:AO23" totalsRowShown="0" headerRowDxfId="87" headerRowBorderDxfId="86" tableBorderDxfId="85">
  <autoFilter ref="Z12:AO23" xr:uid="{7D898CA0-2AB7-48D8-8523-94ADF7F85609}"/>
  <tableColumns count="16">
    <tableColumn id="1" xr3:uid="{E93D15C6-ABDE-4BB3-981F-09E05A4972FF}" name="RCR"/>
    <tableColumn id="2" xr3:uid="{EE1A91A6-02CC-482F-A1FE-19842F01EAD6}" name="CU"/>
    <tableColumn id="3" xr3:uid="{A6895210-266E-4895-8C46-68CB66DE70FF}" name="CU1"/>
    <tableColumn id="4" xr3:uid="{F2044F0A-483E-49DC-85E9-240D5174AF16}" name="CU2"/>
    <tableColumn id="5" xr3:uid="{9C8074F4-6BB0-487E-B086-D84F5E2AC179}" name="CU3"/>
    <tableColumn id="6" xr3:uid="{87FF2BF4-0E1C-4F34-AD79-0377EEBD9969}" name="CU4"/>
    <tableColumn id="7" xr3:uid="{77808537-A242-4ABB-8E0C-37C7AAD968D7}" name="CU5"/>
    <tableColumn id="8" xr3:uid="{850FCC8D-F9AF-43F5-BFA0-212BC75AE60E}" name="CU6"/>
    <tableColumn id="9" xr3:uid="{7662AD47-D56C-4C72-AE92-D376A8CB23C8}" name="CU7"/>
    <tableColumn id="10" xr3:uid="{846043D1-D887-4FDD-A1E9-F27D19AD50AB}" name="CU8"/>
    <tableColumn id="11" xr3:uid="{1C030639-EB19-4A73-AD5B-62737FBB7BBE}" name="CU9"/>
    <tableColumn id="12" xr3:uid="{22F32046-37BB-4A34-92CC-E07F99007677}" name="CU10"/>
    <tableColumn id="13" xr3:uid="{9BBDC334-8150-4489-B597-9458E4C03758}" name="CU11"/>
    <tableColumn id="14" xr3:uid="{37EA408B-5190-4F87-B7F9-0B8516008911}" name="CU12"/>
    <tableColumn id="15" xr3:uid="{49DF1AF1-C27F-4973-868E-15F9D116F5A2}" name="CU13"/>
    <tableColumn id="16" xr3:uid="{25F1100C-603C-4B2E-A510-06EA89C52C09}" name="CU14"/>
  </tableColumns>
  <tableStyleInfo name="TableStyleMedium2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4F02CE4-FC2A-4D0F-951E-BE2C2C779131}" name="Table1319295969" displayName="Table1319295969" ref="V80:V82" totalsRowShown="0">
  <autoFilter ref="V80:V82" xr:uid="{906F8D5B-E188-4A09-8AB3-EC4630FB1196}"/>
  <tableColumns count="1">
    <tableColumn id="1" xr3:uid="{DC63D317-03C9-44CF-8B5C-D3E8BDA65A9B}" name="Orientation"/>
  </tableColumns>
  <tableStyleInfo name="TableStyleMedium2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5CBBA44-5DAE-420C-8FA0-4C7CBE2465CB}" name="Table1x4306070" displayName="Table1x4306070" ref="AQ12:BF23" totalsRowShown="0" headerRowDxfId="84" headerRowBorderDxfId="83" tableBorderDxfId="82">
  <autoFilter ref="AQ12:BF23" xr:uid="{39533706-340A-4B99-8072-6D7A862652F4}"/>
  <tableColumns count="16">
    <tableColumn id="1" xr3:uid="{4DD203BC-F5E9-42A7-9EAF-79F6A4EDC745}" name="RCR"/>
    <tableColumn id="2" xr3:uid="{46D0A4B0-5051-4012-B1B6-A6A66B23246A}" name="CU"/>
    <tableColumn id="3" xr3:uid="{3E37B0D2-65E6-4569-B010-12C824CD9389}" name="CU1"/>
    <tableColumn id="4" xr3:uid="{7940601B-7073-4A3B-974F-32358A5A741E}" name="CU2"/>
    <tableColumn id="5" xr3:uid="{00A5695D-B15A-42F8-9D92-6D43BD13BD78}" name="CU3"/>
    <tableColumn id="6" xr3:uid="{A712986F-601D-4C65-8061-0713C5810FD5}" name="CU4"/>
    <tableColumn id="7" xr3:uid="{65FD596C-ABEB-4CF7-A593-438F7AC42569}" name="CU5"/>
    <tableColumn id="8" xr3:uid="{E215AE7C-9717-4B95-B418-82646D5F2834}" name="CU6"/>
    <tableColumn id="9" xr3:uid="{32D1C4DA-3F30-4A66-8EA2-3E6298C2903C}" name="CU7"/>
    <tableColumn id="10" xr3:uid="{9B0BE11A-7809-4381-AA7F-4622F5CD4998}" name="CU8"/>
    <tableColumn id="11" xr3:uid="{B1EDA421-B4AC-4023-80D6-A5135A1C05A2}" name="CU9"/>
    <tableColumn id="12" xr3:uid="{DE512FEF-34A3-4C9A-8C4B-4A4A317CC1C2}" name="CU10"/>
    <tableColumn id="13" xr3:uid="{64F9C572-3582-4C1E-A659-67DD1EA02072}" name="CU11"/>
    <tableColumn id="14" xr3:uid="{D47F9D4E-510B-4524-9F46-002D01D6EAD0}" name="CU12"/>
    <tableColumn id="15" xr3:uid="{14047318-94FF-40EA-B118-58DE15671963}" name="CU13"/>
    <tableColumn id="16" xr3:uid="{5FAA6BA7-4EC2-46F1-94DB-9EDB3B80FAFF}" name="CU14"/>
  </tableColumns>
  <tableStyleInfo name="TableStyleMedium2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191A7-DE16-4F6C-A867-2280653611B0}" name="Table2x4134144154" displayName="Table2x4134144154" ref="I12:X23" totalsRowShown="0">
  <autoFilter ref="I12:X23" xr:uid="{3261A0F6-56CE-4121-8693-4727BC51A8EC}"/>
  <tableColumns count="16">
    <tableColumn id="1" xr3:uid="{593B1EBD-97BE-4729-B0B7-4977FDB4F001}" name="RCR"/>
    <tableColumn id="2" xr3:uid="{774428A9-3451-4C43-8994-4F8992992421}" name="CU"/>
    <tableColumn id="3" xr3:uid="{31514B52-05C4-4477-9C3A-EF4AB1F3BFB1}" name="CU1"/>
    <tableColumn id="4" xr3:uid="{A9E07DBB-247F-48C9-B2D0-7EF67E69729A}" name="CU2"/>
    <tableColumn id="5" xr3:uid="{F98C9EBE-9F74-4E52-8BE1-EF2445F25E87}" name="CU3"/>
    <tableColumn id="6" xr3:uid="{C5132AF9-F0E3-4987-8AA8-445E298FE256}" name="CU4"/>
    <tableColumn id="7" xr3:uid="{2FF7A0EE-25C6-4E2F-A355-79ADD9DDF21F}" name="CU5"/>
    <tableColumn id="8" xr3:uid="{F181D68F-F57B-47AB-947D-C46DBC3C33DE}" name="CU6"/>
    <tableColumn id="9" xr3:uid="{C322B0A5-CDC7-4D30-8676-D70A0043C22C}" name="CU7"/>
    <tableColumn id="10" xr3:uid="{6F09EF48-D439-4E87-8577-2956F1311117}" name="CU8"/>
    <tableColumn id="11" xr3:uid="{54AF3498-67A5-4F00-A450-41B7E3262503}" name="CU9"/>
    <tableColumn id="12" xr3:uid="{333630B6-29B6-4C06-A4B1-14D457FD27F8}" name="CU10"/>
    <tableColumn id="13" xr3:uid="{ACE1BA04-E425-4722-97A8-49C65E1DA07D}" name="CU11"/>
    <tableColumn id="14" xr3:uid="{9813F4CF-E514-482A-AC99-9AE890B33691}" name="CU12"/>
    <tableColumn id="15" xr3:uid="{1BC6D71A-3CE6-4799-A8DD-1D89EE34677F}" name="CU13"/>
    <tableColumn id="16" xr3:uid="{5A72FB42-6C12-4510-B4D9-BB8AFAFB0EA1}" name="CU14"/>
  </tableColumns>
  <tableStyleInfo name="TableStyleMedium2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BF1B6A65-E6F3-4E57-A729-9FF025A89798}" name="CUtable4135145155" displayName="CUtable4135145155" ref="I32:M122" totalsRowShown="0">
  <autoFilter ref="I32:M122" xr:uid="{1895C869-D44F-4135-9B0B-1FC54B546AC1}"/>
  <tableColumns count="5">
    <tableColumn id="1" xr3:uid="{18FB0369-46A2-4EC8-B88E-112CD33008F1}" name="RC"/>
    <tableColumn id="2" xr3:uid="{28FD6F2A-13A6-4047-A979-93790650788E}" name="RW"/>
    <tableColumn id="4" xr3:uid="{D42FBF77-5F24-4A81-8E34-A8FB6865F576}" name="Size"/>
    <tableColumn id="5" xr3:uid="{E1D45B34-A960-414A-A9D3-E92B175B7FD1}" name="Lens"/>
    <tableColumn id="3" xr3:uid="{1E15D5C0-22CD-48B4-AA25-5B5D1D2A1511}" name="CU"/>
  </tableColumns>
  <tableStyleInfo name="TableStyleMedium5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7F8DCB91-B0B6-4251-B4E5-EFE86CC535AB}" name="Model5136146156" displayName="Model5136146156" ref="I125:K149" totalsRowShown="0" dataDxfId="79">
  <autoFilter ref="I125:K149" xr:uid="{60489EAB-209D-464C-88CD-E719703A12B4}"/>
  <tableColumns count="3">
    <tableColumn id="1" xr3:uid="{D9195586-02F3-45C5-9031-B091139DE539}" name="Model" dataDxfId="78"/>
    <tableColumn id="2" xr3:uid="{D1D8F3F2-DB48-4010-A93E-169D8E806F6E}" name="Lumens" dataDxfId="77"/>
    <tableColumn id="3" xr3:uid="{B83759DF-0C4C-4F22-9DDC-7DFDC07A6C4E}" name="Watts" dataDxfId="76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E7813462-CCF9-4A08-98E1-3CE2C2501719}" name="CUtable42292" displayName="CUtable42292" ref="I32:L77" totalsRowShown="0">
  <autoFilter ref="I32:L77" xr:uid="{1895C869-D44F-4135-9B0B-1FC54B546AC1}"/>
  <tableColumns count="4">
    <tableColumn id="1" xr3:uid="{327E8FB3-872C-4E32-868C-7D3E6092E335}" name="RC"/>
    <tableColumn id="2" xr3:uid="{71727037-F503-4173-871A-CFD0566BD279}" name="RW"/>
    <tableColumn id="4" xr3:uid="{C2A915CF-9AC5-418A-A241-68A58CC12537}" name="Size"/>
    <tableColumn id="3" xr3:uid="{AE7F02BC-8B3B-4878-893E-84520EE400A0}" name="CU"/>
  </tableColumns>
  <tableStyleInfo name="TableStyleMedium5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7934D8CC-787D-4954-86C3-5DAC70BF6946}" name="Table229137147157" displayName="Table229137147157" ref="N125:N130" totalsRowShown="0">
  <autoFilter ref="N125:N130" xr:uid="{524A0BC1-6214-41C4-BB55-444D7E9AAFA8}"/>
  <tableColumns count="1">
    <tableColumn id="1" xr3:uid="{F34B9C8E-CC89-4682-999F-E0EAD0BB28D7}" name="RC"/>
  </tableColumns>
  <tableStyleInfo name="TableStyleMedium2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50AD9E3E-0D9E-4F02-B976-61AF85DF52EE}" name="Table31015138148158" displayName="Table31015138148158" ref="O125:O128" totalsRowShown="0">
  <autoFilter ref="O125:O128" xr:uid="{E644E126-0CB4-4B16-A438-11D08E96B6CC}"/>
  <tableColumns count="1">
    <tableColumn id="1" xr3:uid="{3B0FBD11-DDAC-4AC5-AAB2-354A7CD4972E}" name="RW"/>
  </tableColumns>
  <tableStyleInfo name="TableStyleMedium2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BD47B796-BA2A-4CCF-BEC8-4485B69F8055}" name="Table41116139149159" displayName="Table41116139149159" ref="P125:P126" totalsRowShown="0">
  <autoFilter ref="P125:P126" xr:uid="{C27751B9-2B6B-4AFC-8DA0-3193C288A08B}"/>
  <tableColumns count="1">
    <tableColumn id="1" xr3:uid="{9D10B486-274D-4A8B-8B6C-DCEF581BBFEF}" name="RF"/>
  </tableColumns>
  <tableStyleInfo name="TableStyleMedium2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C8B48E30-1A47-4781-A1AA-F4AAC875C9F7}" name="Table81217140150160" displayName="Table81217140150160" ref="R125:U131" totalsRowShown="0">
  <autoFilter ref="R125:U131" xr:uid="{8E82A350-E297-4703-B135-7BA15B3077C0}"/>
  <tableColumns count="4">
    <tableColumn id="1" xr3:uid="{7FFA45AD-66A1-4BF2-A839-BACF3D5D22D4}" name="Size"/>
    <tableColumn id="4" xr3:uid="{8B4593F7-0B32-43B1-891C-A3741A7E13AB}" name="Lens"/>
    <tableColumn id="2" xr3:uid="{018758E4-44DB-4684-BD2E-096C037D7E72}" name="0-180"/>
    <tableColumn id="3" xr3:uid="{EBE88B4C-4929-48B5-9442-2EA3724E9F88}" name="90-270"/>
  </tableColumns>
  <tableStyleInfo name="TableStyleMedium3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8586EB4A-1B67-4645-9B98-C5797D213E01}" name="Table2x2141151161" displayName="Table2x2141151161" ref="Z12:AO23" totalsRowShown="0" headerRowDxfId="75" headerRowBorderDxfId="74" tableBorderDxfId="73">
  <autoFilter ref="Z12:AO23" xr:uid="{7D898CA0-2AB7-48D8-8523-94ADF7F85609}"/>
  <tableColumns count="16">
    <tableColumn id="1" xr3:uid="{7AF75285-DE69-4F02-A91B-FA121F3A39CB}" name="RCR"/>
    <tableColumn id="2" xr3:uid="{52FDC5B2-A6B1-4231-A5BA-F9514F37FC61}" name="CU"/>
    <tableColumn id="3" xr3:uid="{C49A0FB1-6F47-469A-A2BF-913E9D258B8A}" name="CU1"/>
    <tableColumn id="4" xr3:uid="{D59FB6C3-03CF-4C73-B1FB-86142C9F02DB}" name="CU2"/>
    <tableColumn id="5" xr3:uid="{A4C94ECB-F89B-4AA9-BEB5-E761A2DFC09F}" name="CU3"/>
    <tableColumn id="6" xr3:uid="{134B46C7-1867-4FCB-8AAC-54418787F089}" name="CU4"/>
    <tableColumn id="7" xr3:uid="{43CDACB4-021D-4545-9A5B-D7327A3AE275}" name="CU5"/>
    <tableColumn id="8" xr3:uid="{7230B615-C861-4BA5-BFF0-256C67B30793}" name="CU6"/>
    <tableColumn id="9" xr3:uid="{A33A45B3-F7F8-4184-9B2B-98524FD640AD}" name="CU7"/>
    <tableColumn id="10" xr3:uid="{DFFD1B10-90CD-4DED-87E8-956586D8B9E9}" name="CU8"/>
    <tableColumn id="11" xr3:uid="{02A2FB59-2379-4B7E-A856-FDD537670D95}" name="CU9"/>
    <tableColumn id="12" xr3:uid="{407E1D2B-9A0D-4F82-8959-9D348172EF03}" name="CU10"/>
    <tableColumn id="13" xr3:uid="{DC46F61C-F497-4C4B-886E-B74A11671A1B}" name="CU11"/>
    <tableColumn id="14" xr3:uid="{D08098E0-5899-486A-90F7-3A275F04F675}" name="CU12"/>
    <tableColumn id="15" xr3:uid="{4F42AD0C-9F3B-492E-A5C7-340029C16832}" name="CU13"/>
    <tableColumn id="16" xr3:uid="{E77E902D-B200-4671-A37B-D232ADBCF39A}" name="CU14"/>
  </tableColumns>
  <tableStyleInfo name="TableStyleMedium2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4CF608B-77B3-4B08-BAC6-4E1833C4F8BD}" name="Table1319142152162" displayName="Table1319142152162" ref="W125:W127" totalsRowShown="0">
  <autoFilter ref="W125:W127" xr:uid="{906F8D5B-E188-4A09-8AB3-EC4630FB1196}"/>
  <tableColumns count="1">
    <tableColumn id="1" xr3:uid="{DC544B81-DD8D-4C18-BB89-297B9AD54520}" name="Orientation"/>
  </tableColumns>
  <tableStyleInfo name="TableStyleMedium2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8F507DE2-F374-4FCD-AEFA-9F32659C3275}" name="Table1x4143153163" displayName="Table1x4143153163" ref="AQ12:BF23" totalsRowShown="0" headerRowDxfId="72" headerRowBorderDxfId="71" tableBorderDxfId="70">
  <autoFilter ref="AQ12:BF23" xr:uid="{39533706-340A-4B99-8072-6D7A862652F4}"/>
  <tableColumns count="16">
    <tableColumn id="1" xr3:uid="{DC1464A3-53E9-43BE-88FB-7F281534E516}" name="RCR"/>
    <tableColumn id="2" xr3:uid="{E79D80AE-51BA-4223-B5D6-A0150199B07A}" name="CU"/>
    <tableColumn id="3" xr3:uid="{2E7BB9AF-0ED0-4021-8342-CBF4497D230D}" name="CU1"/>
    <tableColumn id="4" xr3:uid="{0CCC3C56-3AFC-44B2-85D6-38B138994EE9}" name="CU2"/>
    <tableColumn id="5" xr3:uid="{25793F37-254B-4241-9BEF-19A411877D9B}" name="CU3"/>
    <tableColumn id="6" xr3:uid="{2141E076-4E7E-406A-9737-F4154338D35F}" name="CU4"/>
    <tableColumn id="7" xr3:uid="{962FDD0D-86CE-4A92-A8A3-EA58F0CA8E55}" name="CU5"/>
    <tableColumn id="8" xr3:uid="{C1ACEFCD-9A20-490F-ABC0-236A2AEF4912}" name="CU6"/>
    <tableColumn id="9" xr3:uid="{D264640E-4BAE-47CB-A707-3C1B44326D46}" name="CU7"/>
    <tableColumn id="10" xr3:uid="{2D517661-983E-432D-A227-27FBE867BF86}" name="CU8"/>
    <tableColumn id="11" xr3:uid="{EE2004A5-3B6E-4AAD-8BE4-A1EF03DCFA4E}" name="CU9"/>
    <tableColumn id="12" xr3:uid="{347079FE-CD60-46CC-B890-F2E1E813F11A}" name="CU10"/>
    <tableColumn id="13" xr3:uid="{65C8270C-781F-416B-B783-1306154413F8}" name="CU11"/>
    <tableColumn id="14" xr3:uid="{E96AF5EB-DB12-4279-909C-83130D6A033B}" name="CU12"/>
    <tableColumn id="15" xr3:uid="{7A7DA1EA-E390-4EBD-9381-6B6505143393}" name="CU13"/>
    <tableColumn id="16" xr3:uid="{D443C4BE-BC9D-490E-9F22-738E4859D028}" name="CU14"/>
  </tableColumns>
  <tableStyleInfo name="TableStyleMedium2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D341ADAE-34F2-4E53-9A04-CCB000F88B8B}" name="Table2x4134144154164" displayName="Table2x4134144154164" ref="BH12:BW23" totalsRowShown="0">
  <autoFilter ref="BH12:BW23" xr:uid="{6654DAAE-A8F9-461D-86CF-EEF45CD70D36}"/>
  <tableColumns count="16">
    <tableColumn id="1" xr3:uid="{EAA0480A-62B5-4DEB-8D7F-7D2D247AA0BA}" name="RCR"/>
    <tableColumn id="2" xr3:uid="{6BDA2997-C9A3-48A0-87D7-4691A2761724}" name="CU"/>
    <tableColumn id="3" xr3:uid="{2BDCB949-8572-4EA8-8B47-291EF06B5E51}" name="CU1"/>
    <tableColumn id="4" xr3:uid="{0FA7AE08-3358-4321-B3AF-A86300E3748A}" name="CU2"/>
    <tableColumn id="5" xr3:uid="{55AC3273-C095-40F9-B05B-C05BCD4F76FE}" name="CU3"/>
    <tableColumn id="6" xr3:uid="{0CCDE915-FC0F-4C63-9B71-D92B4633C14A}" name="CU4"/>
    <tableColumn id="7" xr3:uid="{EA7B6029-AF52-4501-AC0D-58F3748B6EC5}" name="CU5"/>
    <tableColumn id="8" xr3:uid="{EF30C6AF-7B2F-4CED-BF10-5433026BB097}" name="CU6"/>
    <tableColumn id="9" xr3:uid="{0B4C26AD-8DF9-438A-AC26-BC5645AF4665}" name="CU7"/>
    <tableColumn id="10" xr3:uid="{66C2D988-6FD3-4528-B3B4-9260BD2912C5}" name="CU8"/>
    <tableColumn id="11" xr3:uid="{0DED76DD-52BE-44B0-8906-02C2B72BBBEB}" name="CU9"/>
    <tableColumn id="12" xr3:uid="{AF196695-8689-4513-B77B-C6025C1CFFE9}" name="CU10"/>
    <tableColumn id="13" xr3:uid="{374D81C6-B097-4B9D-A7AE-1D7F0DA522AA}" name="CU11"/>
    <tableColumn id="14" xr3:uid="{926F63DC-8321-4F3A-8331-06BFD48CC871}" name="CU12"/>
    <tableColumn id="15" xr3:uid="{1A4D1E58-8CB7-49FC-8B60-79B3BB312590}" name="CU13"/>
    <tableColumn id="16" xr3:uid="{13427757-BB34-4790-9F43-FED05274FA86}" name="CU14"/>
  </tableColumns>
  <tableStyleInfo name="TableStyleMedium2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FBE2FECB-B016-4C09-9EFC-C30551649DF4}" name="Table2x4134144154165" displayName="Table2x4134144154165" ref="BY12:CN23" totalsRowShown="0">
  <autoFilter ref="BY12:CN23" xr:uid="{B2AAB78B-A2AB-4BA2-96F9-B54D042799EC}"/>
  <tableColumns count="16">
    <tableColumn id="1" xr3:uid="{0776FF13-5740-4B9B-BD63-7E527431458A}" name="RCR"/>
    <tableColumn id="2" xr3:uid="{DE3ED9AF-5CFE-43D9-9D15-856A51B17E1E}" name="CU"/>
    <tableColumn id="3" xr3:uid="{B1551E42-8DC1-4BEE-88DC-8699AC4F1D6D}" name="CU1"/>
    <tableColumn id="4" xr3:uid="{2DEAE02D-D715-468C-BF73-E5F5A173B5BC}" name="CU2"/>
    <tableColumn id="5" xr3:uid="{FDD62970-7E4C-48C0-ACDB-4EC406A05738}" name="CU3"/>
    <tableColumn id="6" xr3:uid="{03687DFD-A704-4B99-9F12-E51CA4936821}" name="CU4"/>
    <tableColumn id="7" xr3:uid="{42870F06-B254-45B2-9377-37BE303DE3E2}" name="CU5"/>
    <tableColumn id="8" xr3:uid="{6535703A-234C-432F-9F68-AC1A62A74A4F}" name="CU6"/>
    <tableColumn id="9" xr3:uid="{ED44202D-8FB3-4FD2-B68D-3C751B9DA20F}" name="CU7"/>
    <tableColumn id="10" xr3:uid="{E06E58EF-CD72-461F-9F0C-F90BC835AE8E}" name="CU8"/>
    <tableColumn id="11" xr3:uid="{6A1044AB-DA74-4741-9134-1900BA887B4F}" name="CU9"/>
    <tableColumn id="12" xr3:uid="{139DCFC0-E2F1-4F52-A1BD-E0C9256F1D6D}" name="CU10"/>
    <tableColumn id="13" xr3:uid="{0F6744C2-6555-439F-85BD-D65A07D5BC0D}" name="CU11"/>
    <tableColumn id="14" xr3:uid="{576D2BE5-08F5-4030-A832-B52F746D523B}" name="CU12"/>
    <tableColumn id="15" xr3:uid="{058D923F-C365-499E-BAE3-ABCE9803E13D}" name="CU13"/>
    <tableColumn id="16" xr3:uid="{29B8E9A4-732A-491E-A0ED-809302AE1E4C}" name="CU14"/>
  </tableColumns>
  <tableStyleInfo name="TableStyleMedium2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B7D674E0-9A3D-436D-B63F-B82D0D49376B}" name="Table2x4134144154166" displayName="Table2x4134144154166" ref="CP12:DE23" totalsRowShown="0">
  <autoFilter ref="CP12:DE23" xr:uid="{3A175780-70AB-4C4E-8F4E-2457FBD188AC}"/>
  <tableColumns count="16">
    <tableColumn id="1" xr3:uid="{E2A8A45C-D573-4D0A-BF8F-6388BBBCAD78}" name="RCR"/>
    <tableColumn id="2" xr3:uid="{36950A54-B975-49EC-B56B-2CB607C589E1}" name="CU"/>
    <tableColumn id="3" xr3:uid="{00B9B8C1-B93B-4721-AD1B-A389073DA5BE}" name="CU1"/>
    <tableColumn id="4" xr3:uid="{DD0F4512-A961-480D-B553-F9195B1BFCBA}" name="CU2"/>
    <tableColumn id="5" xr3:uid="{A23326E4-84FB-4419-9A91-E24445FA7646}" name="CU3"/>
    <tableColumn id="6" xr3:uid="{8ED0C0B8-C022-4D70-8F10-A77D08238CBB}" name="CU4"/>
    <tableColumn id="7" xr3:uid="{9D686336-19E1-4CB8-BC6E-B56495B61404}" name="CU5"/>
    <tableColumn id="8" xr3:uid="{2A7ACE68-416C-4273-AD36-3875F4390215}" name="CU6"/>
    <tableColumn id="9" xr3:uid="{04E7A911-A160-418B-A2D0-69E337087911}" name="CU7"/>
    <tableColumn id="10" xr3:uid="{5E0EED14-5B4E-4A1E-BFBE-D4308335BB6B}" name="CU8"/>
    <tableColumn id="11" xr3:uid="{54289530-00F4-4863-9C51-92AF4C4CE1B5}" name="CU9"/>
    <tableColumn id="12" xr3:uid="{3F1E798E-F182-4535-91B3-34314766C6D8}" name="CU10"/>
    <tableColumn id="13" xr3:uid="{3EFB28E8-6DFB-4AA4-B499-8C4E33A07DE6}" name="CU11"/>
    <tableColumn id="14" xr3:uid="{6C64E57F-7B8F-4E01-99A6-47BA8CD5347A}" name="CU12"/>
    <tableColumn id="15" xr3:uid="{C0328885-6369-46B6-A8EB-F8102B828DDF}" name="CU13"/>
    <tableColumn id="16" xr3:uid="{7E4C6225-5136-49D1-8513-1E17E0104064}" name="CU1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C94EBE5B-6AE9-434E-B713-40D4F7247835}" name="Model52393" displayName="Model52393" ref="I80:K98" totalsRowShown="0">
  <autoFilter ref="I80:K98" xr:uid="{60489EAB-209D-464C-88CD-E719703A12B4}"/>
  <tableColumns count="3">
    <tableColumn id="1" xr3:uid="{CBFB7B28-6529-4AE7-A3EA-71597ED0E6CD}" name="Model" dataDxfId="233"/>
    <tableColumn id="2" xr3:uid="{F5D546DE-4B71-4BF4-AC55-DC2E1636BA64}" name="Lumens" dataDxfId="232"/>
    <tableColumn id="3" xr3:uid="{0F3A8D3F-980F-4155-8F1A-EE3D498DBDEF}" name="Watts" dataDxfId="231"/>
  </tableColumns>
  <tableStyleInfo name="TableStyleMedium7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E32CD978-F655-4687-B7FE-6C6FF95D4AE3}" name="Table2x4167" displayName="Table2x4167" ref="I12:X23" totalsRowShown="0">
  <autoFilter ref="I12:X23" xr:uid="{3261A0F6-56CE-4121-8693-4727BC51A8EC}"/>
  <tableColumns count="16">
    <tableColumn id="1" xr3:uid="{E37FF704-FF56-4B9A-B633-8F61EC9F7FF5}" name="RCR"/>
    <tableColumn id="2" xr3:uid="{90303D3C-CDC3-495E-BD5A-88E8333AB8FF}" name="CU"/>
    <tableColumn id="3" xr3:uid="{5781889D-E0B4-4B73-A759-019DC6626C15}" name="CU1"/>
    <tableColumn id="4" xr3:uid="{01D05300-C1A6-4E88-A6DE-9363B8C488BD}" name="CU2"/>
    <tableColumn id="5" xr3:uid="{C237E6AA-DB86-486F-8576-B84FA9249B5D}" name="CU3"/>
    <tableColumn id="6" xr3:uid="{6D5AF443-F578-4757-A792-3D7D0FF9ADE9}" name="CU4"/>
    <tableColumn id="7" xr3:uid="{8B719A4B-8B06-4603-BC31-B2439AAFB903}" name="CU5"/>
    <tableColumn id="8" xr3:uid="{C34CA37F-75D9-4F65-BFC4-8014DE106854}" name="CU6"/>
    <tableColumn id="9" xr3:uid="{C89CCCAE-1393-4C0B-9C9A-9CA5B5894FB9}" name="CU7"/>
    <tableColumn id="10" xr3:uid="{9E2C9CC9-1718-4180-9FCE-5142EA5AAA22}" name="CU8"/>
    <tableColumn id="11" xr3:uid="{3BC00A7E-63DF-4F35-9294-ABEC5EFD6517}" name="CU9"/>
    <tableColumn id="12" xr3:uid="{EB527C6C-B605-4F66-9E5B-BD151A2CFB00}" name="CU10"/>
    <tableColumn id="13" xr3:uid="{D30C58C7-FF81-49FF-8072-16C945245BAA}" name="CU11"/>
    <tableColumn id="14" xr3:uid="{E9983B10-3BD8-4869-AE7E-4625E5C57C08}" name="CU12"/>
    <tableColumn id="15" xr3:uid="{9B6A638D-CE20-4C3F-9510-904F732912D1}" name="CU13"/>
    <tableColumn id="16" xr3:uid="{6316F2A8-84F7-48D4-8CF7-63B5FB16BFA8}" name="CU14"/>
  </tableColumns>
  <tableStyleInfo name="TableStyleMedium2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811249AB-EE35-416B-9C23-A5E84061108C}" name="CUtable4168" displayName="CUtable4168" ref="I32:L77" totalsRowShown="0">
  <autoFilter ref="I32:L77" xr:uid="{1895C869-D44F-4135-9B0B-1FC54B546AC1}"/>
  <tableColumns count="4">
    <tableColumn id="1" xr3:uid="{E9D76014-4942-4B1B-A6CE-C02FC5A2E2E7}" name="RC"/>
    <tableColumn id="2" xr3:uid="{2477318C-2139-4AA2-997D-65B0205F67FB}" name="RW"/>
    <tableColumn id="4" xr3:uid="{7844CD5C-3988-43F8-AF49-871CB0E226FC}" name="Size"/>
    <tableColumn id="3" xr3:uid="{A5BEBE21-678B-4F10-BD5D-3ACF49A63C4B}" name="CU"/>
  </tableColumns>
  <tableStyleInfo name="TableStyleMedium5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61CD473E-988E-45DD-B654-3F13128E50C0}" name="Model5169" displayName="Model5169" ref="I80:K122" totalsRowShown="0" dataDxfId="67">
  <autoFilter ref="I80:K122" xr:uid="{60489EAB-209D-464C-88CD-E719703A12B4}"/>
  <tableColumns count="3">
    <tableColumn id="1" xr3:uid="{3E757129-E585-47FC-BE8F-4BD175E58B84}" name="Model" dataDxfId="66"/>
    <tableColumn id="2" xr3:uid="{F32E5CCD-3779-4170-AB99-8279D4166A74}" name="Lumens" dataDxfId="65"/>
    <tableColumn id="3" xr3:uid="{025637BD-6324-4F8E-BF43-D212F5D367C3}" name="Watts" dataDxfId="64"/>
  </tableColumns>
  <tableStyleInfo name="TableStyleMedium7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9B35B052-7C22-44CE-B24C-006CC27B7726}" name="Table229170" displayName="Table229170" ref="N80:N85" totalsRowShown="0">
  <autoFilter ref="N80:N85" xr:uid="{524A0BC1-6214-41C4-BB55-444D7E9AAFA8}"/>
  <tableColumns count="1">
    <tableColumn id="1" xr3:uid="{B1B4842A-D1F0-4C04-8032-3CECE7BC2921}" name="RC"/>
  </tableColumns>
  <tableStyleInfo name="TableStyleMedium2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D05605B9-4303-4C22-8474-4DF87C8D534B}" name="Table31015171" displayName="Table31015171" ref="O80:O83" totalsRowShown="0">
  <autoFilter ref="O80:O83" xr:uid="{E644E126-0CB4-4B16-A438-11D08E96B6CC}"/>
  <tableColumns count="1">
    <tableColumn id="1" xr3:uid="{D354A2EB-6F52-4647-9E97-AFF7B74991AC}" name="RW"/>
  </tableColumns>
  <tableStyleInfo name="TableStyleMedium2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9D01FB29-35FD-4D89-BE8C-3286F32FECF4}" name="Table41116172" displayName="Table41116172" ref="P80:P81" totalsRowShown="0">
  <autoFilter ref="P80:P81" xr:uid="{C27751B9-2B6B-4AFC-8DA0-3193C288A08B}"/>
  <tableColumns count="1">
    <tableColumn id="1" xr3:uid="{F49BF2E2-7DE5-41F6-9094-3ED6136DBB01}" name="RF"/>
  </tableColumns>
  <tableStyleInfo name="TableStyleMedium2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ECD73B06-4147-477A-93E4-37434901368D}" name="Table81217173" displayName="Table81217173" ref="R80:T83" totalsRowShown="0">
  <autoFilter ref="R80:T83" xr:uid="{8E82A350-E297-4703-B135-7BA15B3077C0}"/>
  <tableColumns count="3">
    <tableColumn id="1" xr3:uid="{E751F7EE-3AD1-4D61-8D02-C069E914B7AC}" name="Size"/>
    <tableColumn id="2" xr3:uid="{9CDDBCAE-D648-41A6-96AA-86FC4F11052B}" name="0-180"/>
    <tableColumn id="3" xr3:uid="{C1FAC39F-6981-4E8B-B1A5-4746B0987323}" name="90-270"/>
  </tableColumns>
  <tableStyleInfo name="TableStyleMedium3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AA2090B5-99FF-4F2D-9159-691AB4FD7C6C}" name="Table2x2174" displayName="Table2x2174" ref="Z12:AO23" totalsRowShown="0" headerRowDxfId="63" headerRowBorderDxfId="62" tableBorderDxfId="61">
  <autoFilter ref="Z12:AO23" xr:uid="{7D898CA0-2AB7-48D8-8523-94ADF7F85609}"/>
  <tableColumns count="16">
    <tableColumn id="1" xr3:uid="{181AA129-09BD-4983-B05D-1CE70329C5EC}" name="RCR"/>
    <tableColumn id="2" xr3:uid="{E3F332BD-922A-450D-AA7F-ECDE83F15AF7}" name="CU"/>
    <tableColumn id="3" xr3:uid="{F3C8B658-9AFC-490B-B33F-D6262A9D3C87}" name="CU1"/>
    <tableColumn id="4" xr3:uid="{57B74A43-D48C-40B4-9C66-FF2C3243C6C8}" name="CU2"/>
    <tableColumn id="5" xr3:uid="{85D25710-B63E-49BD-92FF-1ADA57FC4FED}" name="CU3"/>
    <tableColumn id="6" xr3:uid="{FE2322F1-00E2-471F-93A7-6B7489C269F2}" name="CU4"/>
    <tableColumn id="7" xr3:uid="{872F2FC0-0531-4B7C-9866-19588DEE86C7}" name="CU5"/>
    <tableColumn id="8" xr3:uid="{DE6ED7FA-0BD4-4D5A-8221-7B4303011D04}" name="CU6"/>
    <tableColumn id="9" xr3:uid="{27A63FF5-08DF-407D-BCD4-7A3ABA35B11F}" name="CU7"/>
    <tableColumn id="10" xr3:uid="{27010A6E-F765-4B77-8F65-067CB15A8382}" name="CU8"/>
    <tableColumn id="11" xr3:uid="{D629DDE2-03D5-4F12-934E-14834CDB6E97}" name="CU9"/>
    <tableColumn id="12" xr3:uid="{7DBF8625-E245-44E0-B0EF-CF61A0781CCC}" name="CU10"/>
    <tableColumn id="13" xr3:uid="{76CCF7CF-32FA-4388-B30C-792B46FF3DA6}" name="CU11"/>
    <tableColumn id="14" xr3:uid="{59BEA7CD-531F-4C59-8B33-1BDD7A0FFE6C}" name="CU12"/>
    <tableColumn id="15" xr3:uid="{5B14CAFD-847B-44CD-A7D9-F671D2993BE8}" name="CU13"/>
    <tableColumn id="16" xr3:uid="{9B98FB62-F706-45A1-AC0E-AD95E31C88CE}" name="CU14"/>
  </tableColumns>
  <tableStyleInfo name="TableStyleMedium2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B888106F-7E6B-4A0E-89E9-4AE60455646B}" name="Table1319175" displayName="Table1319175" ref="V80:V82" totalsRowShown="0">
  <autoFilter ref="V80:V82" xr:uid="{906F8D5B-E188-4A09-8AB3-EC4630FB1196}"/>
  <tableColumns count="1">
    <tableColumn id="1" xr3:uid="{73C16335-5883-4195-84A6-7A170201977B}" name="Orientation"/>
  </tableColumns>
  <tableStyleInfo name="TableStyleMedium2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6AC98D3E-9D9A-4D8A-991C-6B7BAF35D81A}" name="Table1x4176" displayName="Table1x4176" ref="AQ12:BF23" totalsRowShown="0" headerRowDxfId="60" headerRowBorderDxfId="59" tableBorderDxfId="58">
  <autoFilter ref="AQ12:BF23" xr:uid="{39533706-340A-4B99-8072-6D7A862652F4}"/>
  <tableColumns count="16">
    <tableColumn id="1" xr3:uid="{C3952D39-174E-4DB4-B5BC-AF12CF59CC2F}" name="RCR"/>
    <tableColumn id="2" xr3:uid="{639F0626-D79B-4C8D-812C-D14E9BA3C04E}" name="CU"/>
    <tableColumn id="3" xr3:uid="{930BEE3D-0127-4550-A762-F41AFDD0A013}" name="CU1"/>
    <tableColumn id="4" xr3:uid="{F71811C3-CAEE-45ED-9859-1AC21BA7160B}" name="CU2"/>
    <tableColumn id="5" xr3:uid="{9D0A7088-5052-4743-841E-6F4DF51383DC}" name="CU3"/>
    <tableColumn id="6" xr3:uid="{A1424898-88B3-469B-859A-BFD8BF2EAEEA}" name="CU4"/>
    <tableColumn id="7" xr3:uid="{3B3ABA14-82AA-4C32-AA74-AF6475732CF6}" name="CU5"/>
    <tableColumn id="8" xr3:uid="{8A803062-F793-4C94-BDD2-5041FFE52888}" name="CU6"/>
    <tableColumn id="9" xr3:uid="{6BE993D5-51A6-4DF6-A75C-95430335232C}" name="CU7"/>
    <tableColumn id="10" xr3:uid="{BDA2F072-2265-4A69-AFF1-6D0652BD7E62}" name="CU8"/>
    <tableColumn id="11" xr3:uid="{6B0FD00C-2B2A-412D-9BE4-C7B508C69BE5}" name="CU9"/>
    <tableColumn id="12" xr3:uid="{FC571B73-6EA1-4E9F-B339-0CAF0791C6B8}" name="CU10"/>
    <tableColumn id="13" xr3:uid="{0C9C770F-7B6F-474B-86CB-9D214754AF68}" name="CU11"/>
    <tableColumn id="14" xr3:uid="{0E91A791-5C61-4ECA-87AB-8851704B9B2B}" name="CU12"/>
    <tableColumn id="15" xr3:uid="{83CFD2C2-1AC3-4719-919E-D913DCC5A217}" name="CU13"/>
    <tableColumn id="16" xr3:uid="{B6E1727E-51E9-40D0-96E5-6ECB9186F068}" name="CU1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F0782B42-C4F9-46E9-B807-ABDA667058A7}" name="Table2292494" displayName="Table2292494" ref="N87:N92" totalsRowShown="0">
  <autoFilter ref="N87:N92" xr:uid="{524A0BC1-6214-41C4-BB55-444D7E9AAFA8}"/>
  <tableColumns count="1">
    <tableColumn id="1" xr3:uid="{B61AB036-3FB3-48EA-A17F-3FD885216292}" name="RC"/>
  </tableColumns>
  <tableStyleInfo name="TableStyleMedium2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D46E1405-7B20-4963-8991-FAF75E93E138}" name="Table2x4167177" displayName="Table2x4167177" ref="I12:X23" totalsRowShown="0">
  <autoFilter ref="I12:X23" xr:uid="{3261A0F6-56CE-4121-8693-4727BC51A8EC}"/>
  <tableColumns count="16">
    <tableColumn id="1" xr3:uid="{9DEB60C8-9B83-4904-948D-549A3E0C0D60}" name="RCR"/>
    <tableColumn id="2" xr3:uid="{342E3ED7-7A98-419A-875D-FE4890F270C3}" name="CU"/>
    <tableColumn id="3" xr3:uid="{12620151-5A1B-4FD8-B9B5-41FBC9BD4D31}" name="CU1"/>
    <tableColumn id="4" xr3:uid="{3A62969B-8972-4DB6-8BA2-6737961C8366}" name="CU2"/>
    <tableColumn id="5" xr3:uid="{4BAE549D-2BCC-428D-AE85-F8363C3E719B}" name="CU3"/>
    <tableColumn id="6" xr3:uid="{8D237811-BF5E-4D1E-B732-81F7B17DD1AA}" name="CU4"/>
    <tableColumn id="7" xr3:uid="{DF404E5F-B1E6-4900-8DBE-3497BD03043A}" name="CU5"/>
    <tableColumn id="8" xr3:uid="{35365EC0-50FE-47DE-868D-F77A53C88C1A}" name="CU6"/>
    <tableColumn id="9" xr3:uid="{C06210B2-0F1A-4AFF-890A-A31FAB5ABEFE}" name="CU7"/>
    <tableColumn id="10" xr3:uid="{A25BBE9F-3203-440D-A5C8-41BBA16F1C3F}" name="CU8"/>
    <tableColumn id="11" xr3:uid="{CB7D66ED-DD6E-40F7-BD6B-00808CE96A8D}" name="CU9"/>
    <tableColumn id="12" xr3:uid="{9C69B8E7-66FE-4CB9-96D7-1B7F9DD7DC50}" name="CU10"/>
    <tableColumn id="13" xr3:uid="{3E0CA198-88BA-4B82-946F-0343C52EB15B}" name="CU11"/>
    <tableColumn id="14" xr3:uid="{C9061D37-0D4E-414A-981A-F510E5B29BDB}" name="CU12"/>
    <tableColumn id="15" xr3:uid="{10E1E776-74A4-49E6-8C23-DDD8A77F4241}" name="CU13"/>
    <tableColumn id="16" xr3:uid="{5A3EB388-DC78-46E4-A147-9A44D5836EE8}" name="CU14"/>
  </tableColumns>
  <tableStyleInfo name="TableStyleMedium2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7776F575-BAB1-4ABE-9EB0-1167E2B943FA}" name="CUtable4168178" displayName="CUtable4168178" ref="I32:L77" totalsRowShown="0">
  <autoFilter ref="I32:L77" xr:uid="{1895C869-D44F-4135-9B0B-1FC54B546AC1}"/>
  <tableColumns count="4">
    <tableColumn id="1" xr3:uid="{8ED097E3-B86C-459C-AB7B-D0661EE30706}" name="RC"/>
    <tableColumn id="2" xr3:uid="{27A7B620-EA07-4785-A9CE-486D180361AB}" name="RW"/>
    <tableColumn id="4" xr3:uid="{9A2F2273-0FE7-4214-8239-E7EEB58DDEED}" name="Size"/>
    <tableColumn id="3" xr3:uid="{49E0E72D-A712-4F93-AB95-C8E810765740}" name="CU"/>
  </tableColumns>
  <tableStyleInfo name="TableStyleMedium5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B6E00325-8645-44C1-84E8-A606960808B1}" name="Model5169179" displayName="Model5169179" ref="I80:K88" totalsRowShown="0" dataDxfId="55">
  <autoFilter ref="I80:K88" xr:uid="{60489EAB-209D-464C-88CD-E719703A12B4}"/>
  <tableColumns count="3">
    <tableColumn id="1" xr3:uid="{DA9CE82E-E1D2-48AA-9067-B6600BE738CF}" name="Model" dataDxfId="54"/>
    <tableColumn id="2" xr3:uid="{128A6B2D-B3E5-44E7-AB51-CB71B8D81585}" name="Lumens" dataDxfId="53"/>
    <tableColumn id="3" xr3:uid="{8F0E16E5-5A06-4B8B-88F8-94CE10521ED5}" name="Watts" dataDxfId="52"/>
  </tableColumns>
  <tableStyleInfo name="TableStyleMedium7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58FC45C1-2474-49BF-BF88-EAD71DF24C20}" name="Table229170180" displayName="Table229170180" ref="N80:N85" totalsRowShown="0">
  <autoFilter ref="N80:N85" xr:uid="{524A0BC1-6214-41C4-BB55-444D7E9AAFA8}"/>
  <tableColumns count="1">
    <tableColumn id="1" xr3:uid="{F711B902-1DBF-4FBD-B135-249C2369377C}" name="RC"/>
  </tableColumns>
  <tableStyleInfo name="TableStyleMedium2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D13B0572-5D55-4174-83CF-9DBCD624663D}" name="Table31015171181" displayName="Table31015171181" ref="O80:O83" totalsRowShown="0">
  <autoFilter ref="O80:O83" xr:uid="{E644E126-0CB4-4B16-A438-11D08E96B6CC}"/>
  <tableColumns count="1">
    <tableColumn id="1" xr3:uid="{83CD8D74-8E4A-4CB0-9639-576C721C41CB}" name="RW"/>
  </tableColumns>
  <tableStyleInfo name="TableStyleMedium2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4812E100-9CA3-46D6-A7E4-4CB86C5B96BC}" name="Table41116172182" displayName="Table41116172182" ref="P80:P81" totalsRowShown="0">
  <autoFilter ref="P80:P81" xr:uid="{C27751B9-2B6B-4AFC-8DA0-3193C288A08B}"/>
  <tableColumns count="1">
    <tableColumn id="1" xr3:uid="{4BA0D982-7E59-464E-848D-EF92587A162A}" name="RF"/>
  </tableColumns>
  <tableStyleInfo name="TableStyleMedium2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F9878A09-D595-44C3-B4EE-CAD348CA7BBC}" name="Table81217173183" displayName="Table81217173183" ref="R80:T83" totalsRowShown="0">
  <autoFilter ref="R80:T83" xr:uid="{8E82A350-E297-4703-B135-7BA15B3077C0}"/>
  <tableColumns count="3">
    <tableColumn id="1" xr3:uid="{C3134990-E802-4C2D-9A4A-4CCE52836121}" name="Size"/>
    <tableColumn id="2" xr3:uid="{15550705-B948-4527-BCA5-959F975DA7F1}" name="0-180"/>
    <tableColumn id="3" xr3:uid="{55152FB0-24E0-4F39-8000-061501B20019}" name="90-270"/>
  </tableColumns>
  <tableStyleInfo name="TableStyleMedium3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25FEBBF-88A8-444C-968C-08621171FC0D}" name="Table2x2174184" displayName="Table2x2174184" ref="Z12:AO23" totalsRowShown="0" headerRowDxfId="51" headerRowBorderDxfId="50" tableBorderDxfId="49">
  <autoFilter ref="Z12:AO23" xr:uid="{7D898CA0-2AB7-48D8-8523-94ADF7F85609}"/>
  <tableColumns count="16">
    <tableColumn id="1" xr3:uid="{0B6A7C22-6F1F-40F9-9EAB-2BD20BBA0925}" name="RCR"/>
    <tableColumn id="2" xr3:uid="{98923C38-234B-4226-95C1-CAD9B100334F}" name="CU"/>
    <tableColumn id="3" xr3:uid="{5DCA2E2D-4A8F-434B-9424-704020299739}" name="CU1"/>
    <tableColumn id="4" xr3:uid="{BCA1C86F-1F07-4DED-A791-2B1401367CB0}" name="CU2"/>
    <tableColumn id="5" xr3:uid="{AC8CBBAD-D956-47F7-955B-CC96BC03D8A1}" name="CU3"/>
    <tableColumn id="6" xr3:uid="{FCB4890D-F3F1-41C5-9174-C6CF35D194B0}" name="CU4"/>
    <tableColumn id="7" xr3:uid="{732D9719-E726-448D-9290-907B91346222}" name="CU5"/>
    <tableColumn id="8" xr3:uid="{4B8949D2-C805-417E-8B4F-BC2E71FA4632}" name="CU6"/>
    <tableColumn id="9" xr3:uid="{88D81FB0-88F8-46F9-86E7-56A077DE5E1D}" name="CU7"/>
    <tableColumn id="10" xr3:uid="{A945F4C8-A5FD-4868-B197-9DCA65CF8E14}" name="CU8"/>
    <tableColumn id="11" xr3:uid="{DF9F4996-8650-4A83-BB13-270DB9EA8308}" name="CU9"/>
    <tableColumn id="12" xr3:uid="{51EA4410-FA7E-4232-B34A-88472298C261}" name="CU10"/>
    <tableColumn id="13" xr3:uid="{156A7E4F-A8B5-4FDE-BBDC-348D2059FEB8}" name="CU11"/>
    <tableColumn id="14" xr3:uid="{65DE4CB4-6A61-475D-B89A-1188083D015F}" name="CU12"/>
    <tableColumn id="15" xr3:uid="{FF97D5BF-0E0A-4937-85BD-DEBBFDDF6827}" name="CU13"/>
    <tableColumn id="16" xr3:uid="{0C741C81-F973-436E-A983-10B2CE8F8E90}" name="CU14"/>
  </tableColumns>
  <tableStyleInfo name="TableStyleMedium2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795D3180-F696-4544-B8B9-B8B6E9BE9761}" name="Table1319175185" displayName="Table1319175185" ref="V80:V82" totalsRowShown="0">
  <autoFilter ref="V80:V82" xr:uid="{906F8D5B-E188-4A09-8AB3-EC4630FB1196}"/>
  <tableColumns count="1">
    <tableColumn id="1" xr3:uid="{98FB770B-B584-40A7-9F7D-A64A2C77E7F3}" name="Orientation"/>
  </tableColumns>
  <tableStyleInfo name="TableStyleMedium2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80199416-D499-4C6D-93CE-29FBFB796B1A}" name="Table1x4176186" displayName="Table1x4176186" ref="AQ12:BF23" totalsRowShown="0" headerRowDxfId="48" headerRowBorderDxfId="47" tableBorderDxfId="46">
  <autoFilter ref="AQ12:BF23" xr:uid="{39533706-340A-4B99-8072-6D7A862652F4}"/>
  <tableColumns count="16">
    <tableColumn id="1" xr3:uid="{98EB052B-37FD-482C-920F-68299EDAB22D}" name="RCR"/>
    <tableColumn id="2" xr3:uid="{AA73FCCB-EC94-40C1-9581-87D7994DE96F}" name="CU"/>
    <tableColumn id="3" xr3:uid="{BD085756-412C-4DC0-B492-5A89AFA2F0DD}" name="CU1"/>
    <tableColumn id="4" xr3:uid="{6617CFAE-F41E-487D-9D04-F15D721102AB}" name="CU2"/>
    <tableColumn id="5" xr3:uid="{518C137B-E08B-4C75-90D5-EA9927A7B9C0}" name="CU3"/>
    <tableColumn id="6" xr3:uid="{6C8D75DD-1466-4330-92E8-59547E55E9BA}" name="CU4"/>
    <tableColumn id="7" xr3:uid="{F77D1884-1A6A-4EA2-BBE8-DF0F5DF7B8D8}" name="CU5"/>
    <tableColumn id="8" xr3:uid="{22006C1F-152C-4AB7-9A40-444192BBF7DE}" name="CU6"/>
    <tableColumn id="9" xr3:uid="{00441F33-7D7E-4DC5-8B7B-44D8EB2E99D0}" name="CU7"/>
    <tableColumn id="10" xr3:uid="{A721EB91-5476-417D-8568-44CEA48ABBBE}" name="CU8"/>
    <tableColumn id="11" xr3:uid="{E598E176-CDC8-475A-B612-96427244E693}" name="CU9"/>
    <tableColumn id="12" xr3:uid="{DBEEB9A8-9A0A-4B50-A2AB-F35E10333B42}" name="CU10"/>
    <tableColumn id="13" xr3:uid="{2F84CD9A-9B72-47AB-8F34-F378BC36863C}" name="CU11"/>
    <tableColumn id="14" xr3:uid="{F50D24E1-F585-470A-B676-D590D2A9DDB7}" name="CU12"/>
    <tableColumn id="15" xr3:uid="{A20CC890-1EEA-4B90-AAC0-923BE5C68A15}" name="CU13"/>
    <tableColumn id="16" xr3:uid="{B4EDE0FC-902F-46F9-ADA3-B0286C3ABEDB}" name="CU14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04472CF-04E1-46BE-AF87-515693308128}" name="Table310152595" displayName="Table310152595" ref="O87:O90" totalsRowShown="0">
  <autoFilter ref="O87:O90" xr:uid="{E644E126-0CB4-4B16-A438-11D08E96B6CC}"/>
  <tableColumns count="1">
    <tableColumn id="1" xr3:uid="{6F9C79E9-9CF6-4BC8-8BC3-20E0B5555A76}" name="RW"/>
  </tableColumns>
  <tableStyleInfo name="TableStyleMedium2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8FB8A7A9-FB88-4641-96A4-42625749E8BF}" name="Table2x4167177187" displayName="Table2x4167177187" ref="I12:X23" totalsRowShown="0">
  <autoFilter ref="I12:X23" xr:uid="{3261A0F6-56CE-4121-8693-4727BC51A8EC}"/>
  <tableColumns count="16">
    <tableColumn id="1" xr3:uid="{C12F0E61-F13D-401A-B3F4-318467B8CCCB}" name="RCR"/>
    <tableColumn id="2" xr3:uid="{82B8A28A-5299-4B5E-B41E-FA4AAE85F8BE}" name="CU"/>
    <tableColumn id="3" xr3:uid="{EC83981B-E11A-4A0A-AD6E-317168D6D121}" name="CU1"/>
    <tableColumn id="4" xr3:uid="{01828B12-450D-4516-B78D-D8AD59AF5F61}" name="CU2"/>
    <tableColumn id="5" xr3:uid="{256D6499-0C2A-4F77-88D4-41C7511B41A4}" name="CU3"/>
    <tableColumn id="6" xr3:uid="{D99F4AF1-C64D-4ECA-9CD1-6CC4D36B4E26}" name="CU4"/>
    <tableColumn id="7" xr3:uid="{83D1D062-7223-4085-801D-B630DCEC4869}" name="CU5"/>
    <tableColumn id="8" xr3:uid="{A0BEE766-B292-4FAF-B7E5-AC782B1A9D1D}" name="CU6"/>
    <tableColumn id="9" xr3:uid="{E752F36D-1C94-4FD2-BA69-C7CA474F63A8}" name="CU7"/>
    <tableColumn id="10" xr3:uid="{55BD917E-05B0-4D16-BE40-3CC2D3F56091}" name="CU8"/>
    <tableColumn id="11" xr3:uid="{E07557D9-8D2F-466B-BD1E-E2B60A1EB1F4}" name="CU9"/>
    <tableColumn id="12" xr3:uid="{4DCAE866-06F8-4508-A4B0-EEF3FB7B4619}" name="CU10"/>
    <tableColumn id="13" xr3:uid="{4DE8B231-1E77-4B7A-A123-B8DAAF6AEB7A}" name="CU11"/>
    <tableColumn id="14" xr3:uid="{DA2951E6-18A7-465B-BFCD-F113640C531E}" name="CU12"/>
    <tableColumn id="15" xr3:uid="{45805461-B7F9-46E2-9DFA-39322EC9B117}" name="CU13"/>
    <tableColumn id="16" xr3:uid="{80BA122B-570A-427A-AB2B-3D62A57684A1}" name="CU14"/>
  </tableColumns>
  <tableStyleInfo name="TableStyleMedium2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36F39271-CB66-48C6-B38D-C0E6AAD301B1}" name="CUtable4168178188" displayName="CUtable4168178188" ref="I32:L77" totalsRowShown="0">
  <autoFilter ref="I32:L77" xr:uid="{1895C869-D44F-4135-9B0B-1FC54B546AC1}"/>
  <tableColumns count="4">
    <tableColumn id="1" xr3:uid="{919BC140-B133-4AA3-8486-D46E3FA70051}" name="RC"/>
    <tableColumn id="2" xr3:uid="{1A5EE5BB-29E6-46C2-9F22-4522DA7E1076}" name="RW"/>
    <tableColumn id="4" xr3:uid="{324D3989-E1BB-4A22-8E29-29C34D45DC1F}" name="Size"/>
    <tableColumn id="3" xr3:uid="{F99AADF0-3D8F-4EE6-9449-1C538458ACCD}" name="CU"/>
  </tableColumns>
  <tableStyleInfo name="TableStyleMedium5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EC46F276-01E5-4188-9DDD-878DCA4B8378}" name="Model5169179189" displayName="Model5169179189" ref="I80:K108" totalsRowShown="0" dataDxfId="43">
  <autoFilter ref="I80:K108" xr:uid="{60489EAB-209D-464C-88CD-E719703A12B4}"/>
  <tableColumns count="3">
    <tableColumn id="1" xr3:uid="{1FF87FDB-CF43-41BB-9201-AC1ACBC44433}" name="Model" dataDxfId="42"/>
    <tableColumn id="2" xr3:uid="{E9F1D293-47A1-41A4-BB8A-78A5A3B6A851}" name="Lumens" dataDxfId="41"/>
    <tableColumn id="3" xr3:uid="{DAFAAEF8-056F-4858-9305-15BBA7DF0471}" name="Watts" dataDxfId="40"/>
  </tableColumns>
  <tableStyleInfo name="TableStyleMedium7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A46CC462-3C07-45D4-B9C6-80FD42A00564}" name="Table229170180190" displayName="Table229170180190" ref="N80:N85" totalsRowShown="0">
  <autoFilter ref="N80:N85" xr:uid="{524A0BC1-6214-41C4-BB55-444D7E9AAFA8}"/>
  <tableColumns count="1">
    <tableColumn id="1" xr3:uid="{4153FB50-34C7-448D-B7CE-4B72D15374CC}" name="RC"/>
  </tableColumns>
  <tableStyleInfo name="TableStyleMedium2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EBB08A4B-E56B-4DA4-A64C-BFE08C5A8CCA}" name="Table31015171181191" displayName="Table31015171181191" ref="O80:O83" totalsRowShown="0">
  <autoFilter ref="O80:O83" xr:uid="{E644E126-0CB4-4B16-A438-11D08E96B6CC}"/>
  <tableColumns count="1">
    <tableColumn id="1" xr3:uid="{F50C6186-50B2-475B-884C-1408E95B5897}" name="RW"/>
  </tableColumns>
  <tableStyleInfo name="TableStyleMedium2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532AB8FC-A985-44BD-9544-7B1E7A0B042D}" name="Table41116172182192" displayName="Table41116172182192" ref="P80:P81" totalsRowShown="0">
  <autoFilter ref="P80:P81" xr:uid="{C27751B9-2B6B-4AFC-8DA0-3193C288A08B}"/>
  <tableColumns count="1">
    <tableColumn id="1" xr3:uid="{C4F36FAB-AA9B-466A-BC6B-742638B5A1CE}" name="RF"/>
  </tableColumns>
  <tableStyleInfo name="TableStyleMedium2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A7DBCF0C-CB6D-4E13-BFE2-9EB8D7C994DD}" name="Table81217173183193" displayName="Table81217173183193" ref="R80:T83" totalsRowShown="0">
  <autoFilter ref="R80:T83" xr:uid="{8E82A350-E297-4703-B135-7BA15B3077C0}"/>
  <tableColumns count="3">
    <tableColumn id="1" xr3:uid="{2CBF0675-74BB-42F2-92DD-531AEA659A9B}" name="Size"/>
    <tableColumn id="2" xr3:uid="{767D4916-DEBC-4D08-B607-31797B349E65}" name="0-180"/>
    <tableColumn id="3" xr3:uid="{3865038C-7AB0-4D1C-ADB5-36661C82B9B6}" name="90-270"/>
  </tableColumns>
  <tableStyleInfo name="TableStyleMedium3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BE1D91E2-5AE2-4126-B50B-85AE730F7BDC}" name="Table2x2174184194" displayName="Table2x2174184194" ref="Z12:AO23" totalsRowShown="0" headerRowDxfId="39" headerRowBorderDxfId="38" tableBorderDxfId="37">
  <autoFilter ref="Z12:AO23" xr:uid="{7D898CA0-2AB7-48D8-8523-94ADF7F85609}"/>
  <tableColumns count="16">
    <tableColumn id="1" xr3:uid="{3C2F3B20-A619-4A30-937C-06B984688BE0}" name="RCR"/>
    <tableColumn id="2" xr3:uid="{08FAC5D2-8F91-4B43-8EC6-B8EE27C2AA4A}" name="CU"/>
    <tableColumn id="3" xr3:uid="{0126AB05-D2A8-4218-951F-6A2FCEE64153}" name="CU1"/>
    <tableColumn id="4" xr3:uid="{C5CE3715-2BFA-45DD-BFE8-ED008BBC6FF7}" name="CU2"/>
    <tableColumn id="5" xr3:uid="{D9F996B7-138C-4B34-AB55-D894D7C5AFC2}" name="CU3"/>
    <tableColumn id="6" xr3:uid="{465DB02A-F010-42B5-8422-A1D4C2D3648B}" name="CU4"/>
    <tableColumn id="7" xr3:uid="{3FDF9227-A567-40C9-A0A7-A1298B43586D}" name="CU5"/>
    <tableColumn id="8" xr3:uid="{6D174DD0-D2DF-47E8-9A5F-474B062E34E0}" name="CU6"/>
    <tableColumn id="9" xr3:uid="{62643666-4D43-4F2B-84F4-9EF904D3C62A}" name="CU7"/>
    <tableColumn id="10" xr3:uid="{E972F89F-CCC5-47AF-8F3F-77481D36DDE5}" name="CU8"/>
    <tableColumn id="11" xr3:uid="{FCBA5E92-F51E-4A56-8A73-C90D0708B6FE}" name="CU9"/>
    <tableColumn id="12" xr3:uid="{B8D23CE5-2EC9-41AD-80A6-49391746C2E5}" name="CU10"/>
    <tableColumn id="13" xr3:uid="{218C4166-07EC-4352-890B-3707B3CB080D}" name="CU11"/>
    <tableColumn id="14" xr3:uid="{A7A10DAB-31F0-4E5E-A2A5-4B1315D805E6}" name="CU12"/>
    <tableColumn id="15" xr3:uid="{AE316746-780B-4D73-A3F4-B223CC1797C3}" name="CU13"/>
    <tableColumn id="16" xr3:uid="{E9E892B1-4F4E-4EB8-ACC5-EF0985C74268}" name="CU14"/>
  </tableColumns>
  <tableStyleInfo name="TableStyleMedium2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BC436E32-3EF4-47F2-8083-F2CBEC1C4135}" name="Table1319175185195" displayName="Table1319175185195" ref="V80:V82" totalsRowShown="0">
  <autoFilter ref="V80:V82" xr:uid="{906F8D5B-E188-4A09-8AB3-EC4630FB1196}"/>
  <tableColumns count="1">
    <tableColumn id="1" xr3:uid="{21E3DB06-3172-471B-BE04-A4853EE271AB}" name="Orientation"/>
  </tableColumns>
  <tableStyleInfo name="TableStyleMedium2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101F5A47-AF69-4653-BD45-A1B552F57D05}" name="Table1x4176186196" displayName="Table1x4176186196" ref="AQ12:BF23" totalsRowShown="0" headerRowDxfId="36" headerRowBorderDxfId="35" tableBorderDxfId="34">
  <autoFilter ref="AQ12:BF23" xr:uid="{39533706-340A-4B99-8072-6D7A862652F4}"/>
  <tableColumns count="16">
    <tableColumn id="1" xr3:uid="{CAB84C64-56FF-4786-B4D7-A6E391946EB1}" name="RCR"/>
    <tableColumn id="2" xr3:uid="{54CAEFCC-B134-4F60-A254-B13060A6C7AB}" name="CU"/>
    <tableColumn id="3" xr3:uid="{3E25CEF6-0225-4FA9-9C9B-70C457CEB9BB}" name="CU1"/>
    <tableColumn id="4" xr3:uid="{50D9F313-547F-499F-9F21-3ACA589DB5E8}" name="CU2"/>
    <tableColumn id="5" xr3:uid="{37766741-0C17-4773-9404-E4DD0994D604}" name="CU3"/>
    <tableColumn id="6" xr3:uid="{DE7AC15F-9912-4A9E-96A3-500EE161E12D}" name="CU4"/>
    <tableColumn id="7" xr3:uid="{7FDEBD6E-0142-4208-ACE1-0DCC3A377EA0}" name="CU5"/>
    <tableColumn id="8" xr3:uid="{B1FAA2B2-D958-418C-9D79-9A99799B81CF}" name="CU6"/>
    <tableColumn id="9" xr3:uid="{17E5C438-F4CC-4DD4-A21C-4E38AD8A2A4A}" name="CU7"/>
    <tableColumn id="10" xr3:uid="{1CA37769-BCEF-4E32-9C13-B749073EA299}" name="CU8"/>
    <tableColumn id="11" xr3:uid="{77AB4F55-85F3-41DC-98B5-1C625F8B0163}" name="CU9"/>
    <tableColumn id="12" xr3:uid="{021EECCA-27AE-47B9-9121-CC70C3073360}" name="CU10"/>
    <tableColumn id="13" xr3:uid="{2E70EDF4-E60B-438F-AB9E-045E04B0C043}" name="CU11"/>
    <tableColumn id="14" xr3:uid="{B492C15A-6AE9-4B98-8161-821D5E681A3D}" name="CU12"/>
    <tableColumn id="15" xr3:uid="{3DD39609-6436-480F-96CC-9ADA7380B11E}" name="CU13"/>
    <tableColumn id="16" xr3:uid="{075FD605-29CE-4067-A961-245F335C0213}" name="CU14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8A23A81E-C4AB-4FD1-ACA4-46C6D3EDADC4}" name="Table411162696" displayName="Table411162696" ref="P87:P88" totalsRowShown="0">
  <autoFilter ref="P87:P88" xr:uid="{C27751B9-2B6B-4AFC-8DA0-3193C288A08B}"/>
  <tableColumns count="1">
    <tableColumn id="1" xr3:uid="{65670E7C-DCD3-4BCF-BC32-D4D528BE9E1C}" name="RF"/>
  </tableColumns>
  <tableStyleInfo name="TableStyleMedium2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201AC12C-CF73-4342-BB2C-E1EEDCA7CC23}" name="TablePBL5161197" displayName="TablePBL5161197" ref="I12:X23" totalsRowShown="0">
  <autoFilter ref="I12:X23" xr:uid="{3261A0F6-56CE-4121-8693-4727BC51A8EC}"/>
  <tableColumns count="16">
    <tableColumn id="1" xr3:uid="{9B245399-162A-4883-B2EB-6AE73A040415}" name="RCR"/>
    <tableColumn id="2" xr3:uid="{4971B239-CC7A-4209-9E0E-6347F84CBD36}" name="CU"/>
    <tableColumn id="3" xr3:uid="{812F7FA7-BCA0-4766-BD44-EFC573C61D8E}" name="CU1"/>
    <tableColumn id="4" xr3:uid="{3A161014-3D0D-4906-B892-6133ED04C460}" name="CU2"/>
    <tableColumn id="5" xr3:uid="{30186ECD-2E7A-4588-B161-26C3800D9831}" name="CU3"/>
    <tableColumn id="6" xr3:uid="{1C53DF0C-0AA9-4263-A620-315D39F70511}" name="CU4"/>
    <tableColumn id="7" xr3:uid="{AD9DE6BD-358A-41EE-8516-1B06795F2E9B}" name="CU5"/>
    <tableColumn id="8" xr3:uid="{F88E7D58-5E76-46E5-9E5F-ECB46C05323E}" name="CU6"/>
    <tableColumn id="9" xr3:uid="{A56D7E79-F86E-4330-A96E-A0F4035428F0}" name="CU7"/>
    <tableColumn id="10" xr3:uid="{8B799626-4A24-4476-B858-F49D586BA9F7}" name="CU8"/>
    <tableColumn id="11" xr3:uid="{1A1C1E79-BA9D-486A-90C7-60ED814463CC}" name="CU9"/>
    <tableColumn id="12" xr3:uid="{7509DEB0-8168-4A3F-B106-FB4F95AEC441}" name="CU10"/>
    <tableColumn id="13" xr3:uid="{C9CEAD40-D3D9-4A7D-BB55-35D9773DDA9F}" name="CU11"/>
    <tableColumn id="14" xr3:uid="{8CF4329D-5059-45ED-BD1D-763A8B693473}" name="CU12"/>
    <tableColumn id="15" xr3:uid="{ED5380C8-61A2-49BC-BB1B-4BC31504479A}" name="CU13"/>
    <tableColumn id="16" xr3:uid="{BBFEBF2A-2987-4AD7-A88B-AA1574FF864B}" name="CU14"/>
  </tableColumns>
  <tableStyleInfo name="TableStyleMedium2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94FDD68F-93EB-4887-A0A7-DC1E6282B0A3}" name="CUtable4225262198" displayName="CUtable4225262198" ref="I32:L77" totalsRowShown="0">
  <autoFilter ref="I32:L77" xr:uid="{1895C869-D44F-4135-9B0B-1FC54B546AC1}"/>
  <tableColumns count="4">
    <tableColumn id="1" xr3:uid="{23247AF5-637D-4D2D-B530-CCD1CB010DF8}" name="RC"/>
    <tableColumn id="2" xr3:uid="{EF072722-9F06-4126-A5A7-2FD342D0470D}" name="RW"/>
    <tableColumn id="4" xr3:uid="{DE8365E4-FD50-408F-8948-E4ACAA660172}" name="FR"/>
    <tableColumn id="3" xr3:uid="{745E4926-A14A-4449-A91D-0140DCD6FA9B}" name="CU"/>
  </tableColumns>
  <tableStyleInfo name="TableStyleMedium5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7B6047B8-B9D6-45BB-A6B1-8FE141C3F853}" name="Model5235363199" displayName="Model5235363199" ref="I80:K116" totalsRowShown="0">
  <autoFilter ref="I80:K116" xr:uid="{60489EAB-209D-464C-88CD-E719703A12B4}"/>
  <tableColumns count="3">
    <tableColumn id="1" xr3:uid="{51F421D8-C999-43FD-9D28-3300DE78C3DC}" name="Model" dataDxfId="31"/>
    <tableColumn id="2" xr3:uid="{94ACFFC3-F47B-48A7-BF7D-10C55A68BAA8}" name="Lumens" dataDxfId="30"/>
    <tableColumn id="3" xr3:uid="{6C6937F8-E41D-4476-824D-B74B369978BC}" name="Watts" dataDxfId="29"/>
  </tableColumns>
  <tableStyleInfo name="TableStyleMedium7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7810731B-284C-4FA1-A9B8-91D097874678}" name="Table229245464200" displayName="Table229245464200" ref="N80:N85" totalsRowShown="0">
  <autoFilter ref="N80:N85" xr:uid="{524A0BC1-6214-41C4-BB55-444D7E9AAFA8}"/>
  <tableColumns count="1">
    <tableColumn id="1" xr3:uid="{22E2C437-1170-42A6-8E21-088410B0FE19}" name="RC"/>
  </tableColumns>
  <tableStyleInfo name="TableStyleMedium2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3088BB51-1189-4905-8162-8D6FA3C05C45}" name="Table31015255565201" displayName="Table31015255565201" ref="O80:O83" totalsRowShown="0">
  <autoFilter ref="O80:O83" xr:uid="{E644E126-0CB4-4B16-A438-11D08E96B6CC}"/>
  <tableColumns count="1">
    <tableColumn id="1" xr3:uid="{CD82749F-393E-417F-A891-2AEB5B88F4BA}" name="RW"/>
  </tableColumns>
  <tableStyleInfo name="TableStyleMedium2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98FA0419-30E4-4A48-9643-BDA366A68142}" name="Table41116265666202" displayName="Table41116265666202" ref="P80:P81" totalsRowShown="0">
  <autoFilter ref="P80:P81" xr:uid="{C27751B9-2B6B-4AFC-8DA0-3193C288A08B}"/>
  <tableColumns count="1">
    <tableColumn id="1" xr3:uid="{2016BDF8-F22A-401D-A13A-E40903EA00A4}" name="RF"/>
  </tableColumns>
  <tableStyleInfo name="TableStyleMedium2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49F61160-18CA-4F16-BAA6-E00513A606A8}" name="Table81217275767203" displayName="Table81217275767203" ref="R80:T82" totalsRowShown="0">
  <autoFilter ref="R80:T82" xr:uid="{8E82A350-E297-4703-B135-7BA15B3077C0}"/>
  <tableColumns count="3">
    <tableColumn id="1" xr3:uid="{B05F660D-C815-4FD1-8784-9D27AC73AC71}" name="FR"/>
    <tableColumn id="2" xr3:uid="{1F507AF2-EE38-4E0E-8848-B280A46D0EE8}" name="0-180"/>
    <tableColumn id="3" xr3:uid="{61696E75-161F-42BF-9F62-ACE3D1C2F44B}" name="90-270"/>
  </tableColumns>
  <tableStyleInfo name="TableStyleMedium3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2F83F463-FF6C-4D34-A8F6-4EA990D47078}" name="TablePBLFR5868204" displayName="TablePBLFR5868204" ref="Z12:AO23" totalsRowShown="0" headerRowDxfId="28" headerRowBorderDxfId="27" tableBorderDxfId="26">
  <autoFilter ref="Z12:AO23" xr:uid="{7D898CA0-2AB7-48D8-8523-94ADF7F85609}"/>
  <tableColumns count="16">
    <tableColumn id="1" xr3:uid="{F2D077F6-CAC7-4C0C-9705-FE8866F18620}" name="RCR"/>
    <tableColumn id="2" xr3:uid="{38462E9C-81F7-4E5C-B4B8-696D82CD67FC}" name="CU"/>
    <tableColumn id="3" xr3:uid="{2503FF54-C6C2-40E4-898F-BF3F2EA45456}" name="CU1"/>
    <tableColumn id="4" xr3:uid="{8A7DCA25-7939-44E1-B531-C6F383346810}" name="CU2"/>
    <tableColumn id="5" xr3:uid="{F56D0375-B9EF-4299-9BBF-0DE6904C17A5}" name="CU3"/>
    <tableColumn id="6" xr3:uid="{4A7369CF-8344-4D1C-933E-70B7567AE20F}" name="CU4"/>
    <tableColumn id="7" xr3:uid="{F7AA02B8-4E0D-4082-A1A4-6A67AED5A94D}" name="CU5"/>
    <tableColumn id="8" xr3:uid="{48F8181D-5D9F-4DE5-A763-6BF768713670}" name="CU6"/>
    <tableColumn id="9" xr3:uid="{BAA8FB8B-CA2D-41B2-B38F-2F557B8822C8}" name="CU7"/>
    <tableColumn id="10" xr3:uid="{28CB143E-D436-4745-8EEB-791A62BAEBC4}" name="CU8"/>
    <tableColumn id="11" xr3:uid="{964D0C14-E1E2-4C47-8108-F2A97FD88169}" name="CU9"/>
    <tableColumn id="12" xr3:uid="{93A8F977-0F01-4D06-8C3E-849FD8F2B35C}" name="CU10"/>
    <tableColumn id="13" xr3:uid="{B06567BD-6A6C-4E9E-B715-6695E644AF7C}" name="CU11"/>
    <tableColumn id="14" xr3:uid="{5D252DAA-F7DA-4FF1-B857-C522AB688F45}" name="CU12"/>
    <tableColumn id="15" xr3:uid="{4600ABE0-8788-4950-9E40-353EA6103A32}" name="CU13"/>
    <tableColumn id="16" xr3:uid="{B6338984-8838-4F23-A2F8-602CB9A28E75}" name="CU14"/>
  </tableColumns>
  <tableStyleInfo name="TableStyleMedium2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9CE59250-375A-4D31-97A9-D64E95CD14A0}" name="Table1319295969205" displayName="Table1319295969205" ref="V80:V82" totalsRowShown="0">
  <autoFilter ref="V80:V82" xr:uid="{906F8D5B-E188-4A09-8AB3-EC4630FB1196}"/>
  <tableColumns count="1">
    <tableColumn id="1" xr3:uid="{36C5A129-539A-47A0-B104-3409B7375709}" name="Orientation"/>
  </tableColumns>
  <tableStyleInfo name="TableStyleMedium2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4DAA2124-D165-4EAE-996A-6A8A6050F398}" name="Table1x4306070206" displayName="Table1x4306070206" ref="AQ12:BF23" totalsRowShown="0" headerRowDxfId="25" headerRowBorderDxfId="24" tableBorderDxfId="23">
  <autoFilter ref="AQ12:BF23" xr:uid="{39533706-340A-4B99-8072-6D7A862652F4}"/>
  <tableColumns count="16">
    <tableColumn id="1" xr3:uid="{ADF032BA-E3B3-4C88-867D-FE392F431DA1}" name="RCR"/>
    <tableColumn id="2" xr3:uid="{469DE542-FCB7-4312-B2AC-3FE5FB58CE2D}" name="CU"/>
    <tableColumn id="3" xr3:uid="{A042F683-A8EA-40C8-9325-9B1170FFEC63}" name="CU1"/>
    <tableColumn id="4" xr3:uid="{FDB6F578-63B7-48A6-B291-2D11AEBB42D2}" name="CU2"/>
    <tableColumn id="5" xr3:uid="{A4FEF372-02E1-4191-9560-1E7E75159086}" name="CU3"/>
    <tableColumn id="6" xr3:uid="{D3072641-D19C-4D8B-BF94-4D997FD33199}" name="CU4"/>
    <tableColumn id="7" xr3:uid="{7690DC30-E899-47D9-ADC2-1A84320086D2}" name="CU5"/>
    <tableColumn id="8" xr3:uid="{372F7E8E-E051-4411-A271-FF3C00865063}" name="CU6"/>
    <tableColumn id="9" xr3:uid="{7DCA18BF-F0D8-405F-9EAE-67CFA81C386B}" name="CU7"/>
    <tableColumn id="10" xr3:uid="{237E6A11-4712-4D2A-9934-010148C58281}" name="CU8"/>
    <tableColumn id="11" xr3:uid="{04D296AF-9253-45C3-AD55-D40083A11158}" name="CU9"/>
    <tableColumn id="12" xr3:uid="{2CB2A97D-84BB-4470-BD18-604A470A697E}" name="CU10"/>
    <tableColumn id="13" xr3:uid="{A5988C15-EDBB-474B-8DB6-0C5731578DD8}" name="CU11"/>
    <tableColumn id="14" xr3:uid="{529AFD52-AAC8-461D-BBAA-9D1D3DD5C778}" name="CU12"/>
    <tableColumn id="15" xr3:uid="{C97D0375-5A89-4991-93C1-D10DE4CE1A60}" name="CU13"/>
    <tableColumn id="16" xr3:uid="{742392F5-3155-457B-A2BA-6DD06BC896AD}" name="CU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90FFD13D-EA04-48D7-9B22-55CDF38386DB}" name="CUtable4135145155228" displayName="CUtable4135145155228" ref="I32:M122" totalsRowShown="0">
  <autoFilter ref="I32:M122" xr:uid="{1895C869-D44F-4135-9B0B-1FC54B546AC1}"/>
  <tableColumns count="5">
    <tableColumn id="1" xr3:uid="{C672F7B6-BF85-4D65-AA13-CBF69AAA74D5}" name="RC"/>
    <tableColumn id="2" xr3:uid="{8A11A01C-DDD6-417F-9566-9790729952B0}" name="RW"/>
    <tableColumn id="4" xr3:uid="{95ED0A94-FB9D-4A2D-A06F-11ECDF50A685}" name="Size"/>
    <tableColumn id="5" xr3:uid="{23160BB7-4001-43AE-9445-0745756FA0DE}" name="Lens"/>
    <tableColumn id="3" xr3:uid="{9649D111-AEC5-42F8-A8CD-09A794B585FE}" name="CU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AF3AF9CB-15B5-43E7-A560-698BEB4A6436}" name="Table812172797" displayName="Table812172797" ref="R87:T89" totalsRowShown="0">
  <autoFilter ref="R87:T89" xr:uid="{8E82A350-E297-4703-B135-7BA15B3077C0}"/>
  <tableColumns count="3">
    <tableColumn id="1" xr3:uid="{B6BF1376-C2F3-450F-922C-5C0BED1B09D1}" name="Size"/>
    <tableColumn id="2" xr3:uid="{97D750F5-F91B-4042-9EB5-B72E45CD9AB4}" name="0-180"/>
    <tableColumn id="3" xr3:uid="{73EF4354-E02F-481E-8683-9B5C5998CD9C}" name="90-270"/>
  </tableColumns>
  <tableStyleInfo name="TableStyleMedium3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5BF20A58-FB26-4E3F-85AC-3D9BE49841D9}" name="TablePBL5161197207" displayName="TablePBL5161197207" ref="I12:X23" totalsRowShown="0">
  <autoFilter ref="I12:X23" xr:uid="{3261A0F6-56CE-4121-8693-4727BC51A8EC}"/>
  <tableColumns count="16">
    <tableColumn id="1" xr3:uid="{A98B8F36-0A9D-4A49-A68A-0BBCF0F9C39F}" name="RCR"/>
    <tableColumn id="2" xr3:uid="{BFD20AE9-0CB8-4AB8-86B5-399A0D291CB0}" name="CU"/>
    <tableColumn id="3" xr3:uid="{7978D025-2707-4645-BFD7-72C9E064D9BF}" name="CU1"/>
    <tableColumn id="4" xr3:uid="{209820A1-1C4F-44E5-B54F-0BDA2C89B322}" name="CU2"/>
    <tableColumn id="5" xr3:uid="{A31AC1E8-188E-4CF6-8463-763882C2379C}" name="CU3"/>
    <tableColumn id="6" xr3:uid="{CABCC597-20C1-4629-9BB0-330BB8AA1669}" name="CU4"/>
    <tableColumn id="7" xr3:uid="{568133A8-C1A3-4CA3-BB0E-3AAC2BA4C4F2}" name="CU5"/>
    <tableColumn id="8" xr3:uid="{EF11A87D-CEE8-46FC-BD6C-A3758F200C0A}" name="CU6"/>
    <tableColumn id="9" xr3:uid="{E3106DC8-374D-47E4-8C6D-22DD9F2ECB6F}" name="CU7"/>
    <tableColumn id="10" xr3:uid="{AC6C683C-AAA4-4350-B645-3ABF9AF35E2E}" name="CU8"/>
    <tableColumn id="11" xr3:uid="{DE2478F9-8BA5-4C49-ADBB-D0ACA804D101}" name="CU9"/>
    <tableColumn id="12" xr3:uid="{1A719AAC-1859-4DD0-A3F2-0AF5849FA473}" name="CU10"/>
    <tableColumn id="13" xr3:uid="{EE8A8721-2AC0-4F29-818E-6239E9A89902}" name="CU11"/>
    <tableColumn id="14" xr3:uid="{A54A8C2A-492D-4F68-A5B9-D2175EB271DC}" name="CU12"/>
    <tableColumn id="15" xr3:uid="{EE93F425-6F5D-4617-BFDA-BF7412F516BB}" name="CU13"/>
    <tableColumn id="16" xr3:uid="{26D70FD6-259A-4DCA-BFE7-44924FAB3D9F}" name="CU14"/>
  </tableColumns>
  <tableStyleInfo name="TableStyleMedium2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6CA5F18B-F558-4DA0-BDE5-0F56FF129D29}" name="CUtable4225262198208" displayName="CUtable4225262198208" ref="I32:L77" totalsRowShown="0">
  <autoFilter ref="I32:L77" xr:uid="{1895C869-D44F-4135-9B0B-1FC54B546AC1}"/>
  <tableColumns count="4">
    <tableColumn id="1" xr3:uid="{C7C386A8-3B5E-416D-94D2-A5B32475EC21}" name="RC"/>
    <tableColumn id="2" xr3:uid="{07B2EF9C-3839-4DA9-95E1-C7C7EB910FC1}" name="RW"/>
    <tableColumn id="4" xr3:uid="{E78F071C-9462-41FD-B0A3-DA5EA6CA29AD}" name="FR"/>
    <tableColumn id="3" xr3:uid="{EE34299A-9559-4ACE-8420-7201BA8C063A}" name="CU"/>
  </tableColumns>
  <tableStyleInfo name="TableStyleMedium5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EB774308-E769-42A5-8E5D-FC4E39216C7E}" name="Model5235363199209" displayName="Model5235363199209" ref="I80:K116" totalsRowShown="0">
  <autoFilter ref="I80:K116" xr:uid="{60489EAB-209D-464C-88CD-E719703A12B4}"/>
  <tableColumns count="3">
    <tableColumn id="1" xr3:uid="{9FD85D82-FBAB-45DD-A59C-C9E6B42C9FF6}" name="Model" dataDxfId="20"/>
    <tableColumn id="2" xr3:uid="{2070B1C1-3C72-4221-9267-30DC321D1ABF}" name="Lumens" dataDxfId="19"/>
    <tableColumn id="3" xr3:uid="{0476780A-59C4-446E-A551-32BF575F94F0}" name="Watts" dataDxfId="18"/>
  </tableColumns>
  <tableStyleInfo name="TableStyleMedium7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A048306D-98CE-4E7C-9F89-EF9B2B1ED5DE}" name="Table229245464200210" displayName="Table229245464200210" ref="N80:N85" totalsRowShown="0">
  <autoFilter ref="N80:N85" xr:uid="{524A0BC1-6214-41C4-BB55-444D7E9AAFA8}"/>
  <tableColumns count="1">
    <tableColumn id="1" xr3:uid="{5A078A1D-940D-436D-BDEA-D210268A391D}" name="RC"/>
  </tableColumns>
  <tableStyleInfo name="TableStyleMedium2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1D3CF035-8E2C-47DC-BC75-59E59724B741}" name="Table31015255565201211" displayName="Table31015255565201211" ref="O80:O83" totalsRowShown="0">
  <autoFilter ref="O80:O83" xr:uid="{E644E126-0CB4-4B16-A438-11D08E96B6CC}"/>
  <tableColumns count="1">
    <tableColumn id="1" xr3:uid="{56102750-C9BE-41FE-8417-D8F5059AA202}" name="RW"/>
  </tableColumns>
  <tableStyleInfo name="TableStyleMedium2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B9EE1BB5-F823-4524-80AB-E2992456D424}" name="Table41116265666202212" displayName="Table41116265666202212" ref="P80:P81" totalsRowShown="0">
  <autoFilter ref="P80:P81" xr:uid="{C27751B9-2B6B-4AFC-8DA0-3193C288A08B}"/>
  <tableColumns count="1">
    <tableColumn id="1" xr3:uid="{D57B16F7-B036-4E8E-82B1-8A131EBA296C}" name="RF"/>
  </tableColumns>
  <tableStyleInfo name="TableStyleMedium2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97A03977-B31F-4254-B9EA-CE9EAB054E6F}" name="Table81217275767203213" displayName="Table81217275767203213" ref="R80:T82" totalsRowShown="0">
  <autoFilter ref="R80:T82" xr:uid="{8E82A350-E297-4703-B135-7BA15B3077C0}"/>
  <tableColumns count="3">
    <tableColumn id="1" xr3:uid="{F238949A-C3BE-4DAF-BB2C-30DE7AD02348}" name="FR"/>
    <tableColumn id="2" xr3:uid="{A0A1AA21-7CF1-40C7-BFA0-D6F958B619E9}" name="0-180"/>
    <tableColumn id="3" xr3:uid="{32AEA257-98D0-4355-B7F9-3E894D5C6626}" name="90-270"/>
  </tableColumns>
  <tableStyleInfo name="TableStyleMedium3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97501E95-0D94-4964-A1E8-0E65902D81A4}" name="TablePBLFR5868204214" displayName="TablePBLFR5868204214" ref="Z12:AO23" totalsRowShown="0" headerRowDxfId="17" headerRowBorderDxfId="16" tableBorderDxfId="15">
  <autoFilter ref="Z12:AO23" xr:uid="{7D898CA0-2AB7-48D8-8523-94ADF7F85609}"/>
  <tableColumns count="16">
    <tableColumn id="1" xr3:uid="{818B014D-2CAB-4320-B530-6E7C3BC9EBD4}" name="RCR"/>
    <tableColumn id="2" xr3:uid="{4C30430F-64B2-4772-854B-B3170FC0FB53}" name="CU"/>
    <tableColumn id="3" xr3:uid="{D0DEFD0C-AC1E-421E-A0B4-17C7332DF0EE}" name="CU1"/>
    <tableColumn id="4" xr3:uid="{CC54F864-2C0E-4472-A527-962C616C195D}" name="CU2"/>
    <tableColumn id="5" xr3:uid="{D9193C50-B9B7-45A7-8CCD-F5EBCF2FB821}" name="CU3"/>
    <tableColumn id="6" xr3:uid="{2CA8100A-1C0C-4CC4-99B8-9D0B3899FFF8}" name="CU4"/>
    <tableColumn id="7" xr3:uid="{E30B7890-618E-4D5B-B410-ACA2EC8ED5CA}" name="CU5"/>
    <tableColumn id="8" xr3:uid="{C20EC0B0-9181-4A92-9A32-6EE464C6504F}" name="CU6"/>
    <tableColumn id="9" xr3:uid="{572597F8-160A-4812-8A25-7BBD7D7939BD}" name="CU7"/>
    <tableColumn id="10" xr3:uid="{DB9A4788-84F7-456B-9F5B-ABCF92EFAB10}" name="CU8"/>
    <tableColumn id="11" xr3:uid="{6093B69E-2B91-43E2-9605-2DC5B82618CF}" name="CU9"/>
    <tableColumn id="12" xr3:uid="{A20AAC95-AC05-4BBB-988D-4B28EEDEEE78}" name="CU10"/>
    <tableColumn id="13" xr3:uid="{12A704B8-A371-4FC8-9583-B5026BA16733}" name="CU11"/>
    <tableColumn id="14" xr3:uid="{EFE5F84B-887E-4109-8E00-3BCECF5C4D1D}" name="CU12"/>
    <tableColumn id="15" xr3:uid="{C51CCC4E-6E42-4995-995D-070124A18991}" name="CU13"/>
    <tableColumn id="16" xr3:uid="{D981CEDE-C2D1-49F7-8077-8F9448F4F225}" name="CU14"/>
  </tableColumns>
  <tableStyleInfo name="TableStyleMedium2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A125705B-621C-489B-A3EE-682186FB7682}" name="Table1319295969205215" displayName="Table1319295969205215" ref="V80:V82" totalsRowShown="0">
  <autoFilter ref="V80:V82" xr:uid="{906F8D5B-E188-4A09-8AB3-EC4630FB1196}"/>
  <tableColumns count="1">
    <tableColumn id="1" xr3:uid="{B64926F4-55CA-42A3-8519-A4C3FEC55C00}" name="Orientation"/>
  </tableColumns>
  <tableStyleInfo name="TableStyleMedium2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EBE1F21B-3C71-4EF3-9C0C-A5258E6F0D44}" name="Table1x4306070206216" displayName="Table1x4306070206216" ref="AQ12:BF23" totalsRowShown="0" headerRowDxfId="14" headerRowBorderDxfId="13" tableBorderDxfId="12">
  <autoFilter ref="AQ12:BF23" xr:uid="{39533706-340A-4B99-8072-6D7A862652F4}"/>
  <tableColumns count="16">
    <tableColumn id="1" xr3:uid="{F5EA8302-5D91-46A2-835A-CC3AC4ACE1F9}" name="RCR"/>
    <tableColumn id="2" xr3:uid="{6BE47D40-CB3B-4789-B43C-F1FBD41D7066}" name="CU"/>
    <tableColumn id="3" xr3:uid="{317A9D83-FFD0-474E-AE4C-0D72CCE7BC13}" name="CU1"/>
    <tableColumn id="4" xr3:uid="{F33913E9-8E80-4609-9A9B-9F9818DE69A6}" name="CU2"/>
    <tableColumn id="5" xr3:uid="{244DACB6-152D-43F4-9CE2-15D1BFB879B8}" name="CU3"/>
    <tableColumn id="6" xr3:uid="{27DF0FE4-69D7-4430-97AC-914C9D31A7CB}" name="CU4"/>
    <tableColumn id="7" xr3:uid="{19356311-8CB9-4589-B58B-402B24F40507}" name="CU5"/>
    <tableColumn id="8" xr3:uid="{4AFF2501-9726-4255-80C5-D2B03F0894DC}" name="CU6"/>
    <tableColumn id="9" xr3:uid="{7D7C8C5F-1CF7-4FD4-B20A-996C01FCB089}" name="CU7"/>
    <tableColumn id="10" xr3:uid="{852A02D3-49A9-497B-BF23-F78F86653804}" name="CU8"/>
    <tableColumn id="11" xr3:uid="{5BFDEBF0-A708-4C59-9F44-440E43CF8A8F}" name="CU9"/>
    <tableColumn id="12" xr3:uid="{1DE14B63-5160-478A-8B76-34217B5F2730}" name="CU10"/>
    <tableColumn id="13" xr3:uid="{4E4D31E2-D2B4-466E-A077-F29B59DA2A26}" name="CU11"/>
    <tableColumn id="14" xr3:uid="{266535C9-41F8-48E3-B4FC-6F613BB5FF65}" name="CU12"/>
    <tableColumn id="15" xr3:uid="{83D91F4F-75E7-4255-9378-8FF1D8904958}" name="CU13"/>
    <tableColumn id="16" xr3:uid="{511B1B63-6D91-4416-B119-D9FB725AD808}" name="CU1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6CEDE6C3-74EF-4CE2-9A5B-16D32C490594}" name="TablePBLFR98" displayName="TablePBLFR98" ref="Z12:AO23" totalsRowShown="0" headerRowDxfId="230" headerRowBorderDxfId="229" tableBorderDxfId="228">
  <autoFilter ref="Z12:AO23" xr:uid="{7D898CA0-2AB7-48D8-8523-94ADF7F85609}"/>
  <tableColumns count="16">
    <tableColumn id="1" xr3:uid="{1FBDFF70-06A2-4FA9-940B-6310CD630006}" name="RCR"/>
    <tableColumn id="2" xr3:uid="{69481685-30EC-4592-ADCB-5CA82DD019AA}" name="CU"/>
    <tableColumn id="3" xr3:uid="{CA1B6FCA-D7B7-4F05-9BC5-D88FAED84C15}" name="CU1"/>
    <tableColumn id="4" xr3:uid="{9FE8EA84-D5F0-4516-9005-BFC5F1FC5CB9}" name="CU2"/>
    <tableColumn id="5" xr3:uid="{0E8D7B7C-0B20-47F6-8A33-5386E6E54534}" name="CU3"/>
    <tableColumn id="6" xr3:uid="{6277EC5A-E34B-435B-8A3A-D578EBEE5FE6}" name="CU4"/>
    <tableColumn id="7" xr3:uid="{17F7B7A2-6CA2-446A-BDDB-27087193B441}" name="CU5"/>
    <tableColumn id="8" xr3:uid="{3C04E0FC-07C6-4B18-9BAE-74FC626365D7}" name="CU6"/>
    <tableColumn id="9" xr3:uid="{D7178711-FD49-46D0-A5B4-467DD634B71D}" name="CU7"/>
    <tableColumn id="10" xr3:uid="{0BDC2556-229F-4227-810B-FD328975EFC1}" name="CU8"/>
    <tableColumn id="11" xr3:uid="{193BE39A-8DB5-4769-9014-BDE8A3DE7F88}" name="CU9"/>
    <tableColumn id="12" xr3:uid="{60A7FA0A-7C87-4AEF-9AB8-3439B8A82635}" name="CU10"/>
    <tableColumn id="13" xr3:uid="{6C4617B3-B93B-4F06-ACA1-D27DEE7B1B35}" name="CU11"/>
    <tableColumn id="14" xr3:uid="{6B10BCBA-2A31-4B65-8D1C-EE954608AA60}" name="CU12"/>
    <tableColumn id="15" xr3:uid="{B4B27D46-4048-4CF2-B6CC-E7AF8C650868}" name="CU13"/>
    <tableColumn id="16" xr3:uid="{48DB1A2B-4BE3-40A6-A835-15335BFE7D2F}" name="CU14"/>
  </tableColumns>
  <tableStyleInfo name="TableStyleMedium2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20059B76-5097-4323-9B76-CB2C67ECDB52}" name="Table2x4167217" displayName="Table2x4167217" ref="I12:X23" totalsRowShown="0">
  <autoFilter ref="I12:X23" xr:uid="{3261A0F6-56CE-4121-8693-4727BC51A8EC}"/>
  <tableColumns count="16">
    <tableColumn id="1" xr3:uid="{D9AAFB03-166A-45C3-B8FE-7B26A7DED3E9}" name="RCR"/>
    <tableColumn id="2" xr3:uid="{E2BC5EC9-E4FD-4170-A3A5-45D34BEFF914}" name="CU"/>
    <tableColumn id="3" xr3:uid="{65D3CEC8-11A5-4508-B1B5-81151DEC53D0}" name="CU1"/>
    <tableColumn id="4" xr3:uid="{99FEF759-9EBE-4C18-A3A4-2DA618F98EC5}" name="CU2"/>
    <tableColumn id="5" xr3:uid="{55FCC86A-B7A3-4C3B-9086-96ED0D5D28D5}" name="CU3"/>
    <tableColumn id="6" xr3:uid="{C1C72C89-3BAA-4B86-A979-FC2F7896A410}" name="CU4"/>
    <tableColumn id="7" xr3:uid="{F0AE5906-DA91-444F-A1F5-8CE5BA4888F4}" name="CU5"/>
    <tableColumn id="8" xr3:uid="{7F2BEE35-43CC-4F8C-852D-C26050BC0DB2}" name="CU6"/>
    <tableColumn id="9" xr3:uid="{C7E117E9-C5BF-4B9F-A534-F249F977CE78}" name="CU7"/>
    <tableColumn id="10" xr3:uid="{9CBB457B-D277-4C60-A1E6-91DDD0B984C8}" name="CU8"/>
    <tableColumn id="11" xr3:uid="{26235148-9D3F-41B5-93D8-7B2DA66F0831}" name="CU9"/>
    <tableColumn id="12" xr3:uid="{FE0CBC1D-59F1-4B73-B435-59F36F13E944}" name="CU10"/>
    <tableColumn id="13" xr3:uid="{55CF0F4C-1CBD-468C-9FAC-598B6231B59E}" name="CU11"/>
    <tableColumn id="14" xr3:uid="{C8433CE8-4B97-40A9-8CA3-95C75397E4B5}" name="CU12"/>
    <tableColumn id="15" xr3:uid="{BE57F2ED-231F-4AFA-A5F2-B0EB49243A1A}" name="CU13"/>
    <tableColumn id="16" xr3:uid="{A042EC89-260C-4DDA-8FBF-16FE4056F160}" name="CU14"/>
  </tableColumns>
  <tableStyleInfo name="TableStyleMedium2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523981B0-C47F-4B5D-9A35-8F328BB748E5}" name="CUtable4168218" displayName="CUtable4168218" ref="I32:L77" totalsRowShown="0">
  <autoFilter ref="I32:L77" xr:uid="{1895C869-D44F-4135-9B0B-1FC54B546AC1}"/>
  <tableColumns count="4">
    <tableColumn id="1" xr3:uid="{0EF7DF57-441C-4572-AACD-A14A321318DD}" name="RC"/>
    <tableColumn id="2" xr3:uid="{AC2B0BF5-4A31-4383-A379-8F55B13EBF1D}" name="RW"/>
    <tableColumn id="4" xr3:uid="{EBFC135D-3E5B-47C1-89E7-B04B9201616E}" name="Size"/>
    <tableColumn id="3" xr3:uid="{0C77863F-6C3A-4549-8D0A-F9BA9C099103}" name="CU"/>
  </tableColumns>
  <tableStyleInfo name="TableStyleMedium5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7375C1E8-0DD7-4532-970F-3713A4F7B221}" name="Model5169219" displayName="Model5169219" ref="I80:K92" totalsRowShown="0" dataDxfId="9">
  <autoFilter ref="I80:K92" xr:uid="{60489EAB-209D-464C-88CD-E719703A12B4}"/>
  <tableColumns count="3">
    <tableColumn id="1" xr3:uid="{F9ECD006-D7BA-4BB6-A462-DE3ABF5DBC70}" name="Model" dataDxfId="8"/>
    <tableColumn id="2" xr3:uid="{55C826AE-E06A-4C04-A791-8092C1EEC81A}" name="Lumens" dataDxfId="7"/>
    <tableColumn id="3" xr3:uid="{396A160D-4077-47D8-9CD9-F558E8515DF4}" name="Watts" dataDxfId="6"/>
  </tableColumns>
  <tableStyleInfo name="TableStyleMedium7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28BFE6E5-8EAA-433D-A721-1CE44B878737}" name="Table229170220" displayName="Table229170220" ref="N80:N85" totalsRowShown="0">
  <autoFilter ref="N80:N85" xr:uid="{524A0BC1-6214-41C4-BB55-444D7E9AAFA8}"/>
  <tableColumns count="1">
    <tableColumn id="1" xr3:uid="{8C012C3E-2CF6-4EE3-B527-A18CE07D9309}" name="RC"/>
  </tableColumns>
  <tableStyleInfo name="TableStyleMedium2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70FB8D13-8CBA-453A-A8A6-D8A87DEC9FA9}" name="Table31015171221" displayName="Table31015171221" ref="O80:O83" totalsRowShown="0">
  <autoFilter ref="O80:O83" xr:uid="{E644E126-0CB4-4B16-A438-11D08E96B6CC}"/>
  <tableColumns count="1">
    <tableColumn id="1" xr3:uid="{31163F1E-B308-45D7-BF29-3C7D3B9B0ADB}" name="RW"/>
  </tableColumns>
  <tableStyleInfo name="TableStyleMedium2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D6D15A55-0BB6-47B7-9180-E44E0D22E01D}" name="Table41116172222" displayName="Table41116172222" ref="P80:P81" totalsRowShown="0">
  <autoFilter ref="P80:P81" xr:uid="{C27751B9-2B6B-4AFC-8DA0-3193C288A08B}"/>
  <tableColumns count="1">
    <tableColumn id="1" xr3:uid="{DAD5C363-BA62-4233-8DE0-32999635583D}" name="RF"/>
  </tableColumns>
  <tableStyleInfo name="TableStyleMedium2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3A8F04B-08E0-4E9B-9677-FDA2A300DB8F}" name="Table81217173223" displayName="Table81217173223" ref="R80:T83" totalsRowShown="0">
  <autoFilter ref="R80:T83" xr:uid="{8E82A350-E297-4703-B135-7BA15B3077C0}"/>
  <tableColumns count="3">
    <tableColumn id="1" xr3:uid="{C0BAB6D6-B19D-4BBB-A5AB-08965E28590D}" name="Size"/>
    <tableColumn id="2" xr3:uid="{F61F6FAF-0777-447F-AD07-E559A3161EA5}" name="0-180"/>
    <tableColumn id="3" xr3:uid="{561E34D2-234B-4EBD-BC59-51F02B2AEFA2}" name="90-270"/>
  </tableColumns>
  <tableStyleInfo name="TableStyleMedium3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FAE15F2A-5266-4685-9028-67F5F1E35B09}" name="Table2x2174224" displayName="Table2x2174224" ref="Z12:AO23" totalsRowShown="0" headerRowDxfId="5" headerRowBorderDxfId="4" tableBorderDxfId="3">
  <autoFilter ref="Z12:AO23" xr:uid="{7D898CA0-2AB7-48D8-8523-94ADF7F85609}"/>
  <tableColumns count="16">
    <tableColumn id="1" xr3:uid="{35177907-32BB-443B-9E83-E9F302E1F543}" name="RCR"/>
    <tableColumn id="2" xr3:uid="{C0FC7BF7-E1F0-44DE-AB1E-4E03CC8AE219}" name="CU"/>
    <tableColumn id="3" xr3:uid="{FCF388C1-C2F0-41FE-B384-8312E62E80F0}" name="CU1"/>
    <tableColumn id="4" xr3:uid="{4DA00ED7-34BB-401D-ADFC-68F7ABAA3B92}" name="CU2"/>
    <tableColumn id="5" xr3:uid="{ECE77A1F-6DD2-43EF-B21B-6FC560E5FC3B}" name="CU3"/>
    <tableColumn id="6" xr3:uid="{1F21D064-650A-4C33-89CE-39AB9A03F7CE}" name="CU4"/>
    <tableColumn id="7" xr3:uid="{EB06E524-49F8-4263-91B4-F04EC52C41F3}" name="CU5"/>
    <tableColumn id="8" xr3:uid="{90A3E65A-01A9-41EB-A253-2A7F11D938A8}" name="CU6"/>
    <tableColumn id="9" xr3:uid="{8F0FE22E-9D30-4B61-865E-E1F3B8F8A341}" name="CU7"/>
    <tableColumn id="10" xr3:uid="{C5493547-0AD5-476B-9618-A9E47B1F3824}" name="CU8"/>
    <tableColumn id="11" xr3:uid="{321046B8-7663-47C7-8FD7-0DAF94869033}" name="CU9"/>
    <tableColumn id="12" xr3:uid="{98B279D0-4B70-40FA-80C9-70E76F04EB0D}" name="CU10"/>
    <tableColumn id="13" xr3:uid="{B7F64828-D769-4B42-8017-FBC3694E21D2}" name="CU11"/>
    <tableColumn id="14" xr3:uid="{ED773001-CC30-4A6A-836C-B6B7AC02E457}" name="CU12"/>
    <tableColumn id="15" xr3:uid="{B969F334-B80E-4139-A9ED-82111B18148C}" name="CU13"/>
    <tableColumn id="16" xr3:uid="{986E0B27-E960-4BA5-9170-28A4904D29A6}" name="CU14"/>
  </tableColumns>
  <tableStyleInfo name="TableStyleMedium2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D50F2F48-8F54-47E7-9DF0-A68E75B0A128}" name="Table1319175225" displayName="Table1319175225" ref="V80:V82" totalsRowShown="0">
  <autoFilter ref="V80:V82" xr:uid="{906F8D5B-E188-4A09-8AB3-EC4630FB1196}"/>
  <tableColumns count="1">
    <tableColumn id="1" xr3:uid="{3D5EEA5F-9167-417F-BE97-0DA5CF176A85}" name="Orientation"/>
  </tableColumns>
  <tableStyleInfo name="TableStyleMedium2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A5A05CC6-653F-40DF-96E1-45109A4F9F23}" name="Table1x4176226" displayName="Table1x4176226" ref="AQ12:BF23" totalsRowShown="0" headerRowDxfId="2" headerRowBorderDxfId="1" tableBorderDxfId="0">
  <autoFilter ref="AQ12:BF23" xr:uid="{39533706-340A-4B99-8072-6D7A862652F4}"/>
  <tableColumns count="16">
    <tableColumn id="1" xr3:uid="{3E089A13-A44D-428F-8839-53D7AD085BA8}" name="RCR"/>
    <tableColumn id="2" xr3:uid="{67E0046D-D17E-4AAE-B8C0-CEBD28847C43}" name="CU"/>
    <tableColumn id="3" xr3:uid="{FCA9387D-E50F-4A2B-A05C-F18BEE91E29B}" name="CU1"/>
    <tableColumn id="4" xr3:uid="{F19B07AC-F0E1-467B-A537-EB993AC2D66E}" name="CU2"/>
    <tableColumn id="5" xr3:uid="{981A5296-E146-49B4-A751-2E05D02F7122}" name="CU3"/>
    <tableColumn id="6" xr3:uid="{BB2D9692-7064-489B-ACC7-D6B029911B36}" name="CU4"/>
    <tableColumn id="7" xr3:uid="{A9B86D67-1270-4112-80AC-8F281DA394B3}" name="CU5"/>
    <tableColumn id="8" xr3:uid="{EC7380B8-3EE8-48D9-8FF5-900E999775B3}" name="CU6"/>
    <tableColumn id="9" xr3:uid="{ACEAB6F8-0CA3-481B-97A9-6D05779C9384}" name="CU7"/>
    <tableColumn id="10" xr3:uid="{BC90806C-25C4-4B1A-8291-DDCCEBFC9AB7}" name="CU8"/>
    <tableColumn id="11" xr3:uid="{B0CB9521-9376-4DCE-838C-B80397D0A486}" name="CU9"/>
    <tableColumn id="12" xr3:uid="{B24F2AC0-6624-4A77-884C-A11CE7C9E4D4}" name="CU10"/>
    <tableColumn id="13" xr3:uid="{E68C07B0-C852-46CA-B698-4FF8B125F6A6}" name="CU11"/>
    <tableColumn id="14" xr3:uid="{BFE4AB5F-DF5F-49B1-8B73-0BDF709D39EA}" name="CU12"/>
    <tableColumn id="15" xr3:uid="{2FDAD082-D90C-40DA-8979-A181DBFF5434}" name="CU13"/>
    <tableColumn id="16" xr3:uid="{5B62C31D-197F-4974-8CBE-3B342872A3B0}" name="CU14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6016308C-C49C-4633-94D7-614855C70056}" name="Table13192999" displayName="Table13192999" ref="V87:V89" totalsRowShown="0">
  <autoFilter ref="V87:V89" xr:uid="{906F8D5B-E188-4A09-8AB3-EC4630FB1196}"/>
  <tableColumns count="1">
    <tableColumn id="1" xr3:uid="{82057170-E86D-4648-BC38-CDF4E10DC0C3}" name="Orientation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5CB941D2-C291-4F24-BE10-17A6072E6C9A}" name="Table1x430100" displayName="Table1x430100" ref="AQ12:BF23" totalsRowShown="0" headerRowDxfId="227" headerRowBorderDxfId="226" tableBorderDxfId="225">
  <autoFilter ref="AQ12:BF23" xr:uid="{39533706-340A-4B99-8072-6D7A862652F4}"/>
  <tableColumns count="16">
    <tableColumn id="1" xr3:uid="{2BBECB31-5FD8-4BB5-990A-059551883044}" name="RCR"/>
    <tableColumn id="2" xr3:uid="{E1732267-673D-48BE-86F2-ED84C9A48AEC}" name="CU"/>
    <tableColumn id="3" xr3:uid="{AC5F9168-4BB1-4EAB-ADE4-68D94CD8CC57}" name="CU1"/>
    <tableColumn id="4" xr3:uid="{55E464A9-D866-42EF-B055-25C29C9BB9AB}" name="CU2"/>
    <tableColumn id="5" xr3:uid="{01B4DAA9-0679-4F0E-853D-BD5B7BAAAFDC}" name="CU3"/>
    <tableColumn id="6" xr3:uid="{2942E57C-81F7-4C25-BD7A-B0CEFB53B133}" name="CU4"/>
    <tableColumn id="7" xr3:uid="{E4E0D9A1-EF41-41CE-BD71-AADE5C68E02C}" name="CU5"/>
    <tableColumn id="8" xr3:uid="{7226D1DF-CE5A-4A37-B092-D106A8BEDFC1}" name="CU6"/>
    <tableColumn id="9" xr3:uid="{27F79B28-306A-4887-A32C-6B997FFAB427}" name="CU7"/>
    <tableColumn id="10" xr3:uid="{E952A6B2-1BF5-4E8B-8836-B920917FF43C}" name="CU8"/>
    <tableColumn id="11" xr3:uid="{3786801A-F504-4024-8031-5904721CE469}" name="CU9"/>
    <tableColumn id="12" xr3:uid="{3FE90AF2-8BDA-450D-A807-E9F16A153A9F}" name="CU10"/>
    <tableColumn id="13" xr3:uid="{FC506F7A-9FE4-437D-BDC8-CA1AC41BC72A}" name="CU11"/>
    <tableColumn id="14" xr3:uid="{6471277F-0A34-4600-8FC5-3B8AC402EA78}" name="CU12"/>
    <tableColumn id="15" xr3:uid="{DAC891E6-51A3-4D24-98C0-73C299085A0F}" name="CU13"/>
    <tableColumn id="16" xr3:uid="{F44520B9-0738-43AF-8893-3C9EC454A4A3}" name="CU14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3EC632CC-BE99-4B05-AE46-CF670CF1C080}" name="TablePBL91101" displayName="TablePBL91101" ref="I12:X23" totalsRowShown="0">
  <autoFilter ref="I12:X23" xr:uid="{3261A0F6-56CE-4121-8693-4727BC51A8EC}"/>
  <tableColumns count="16">
    <tableColumn id="1" xr3:uid="{922D288B-08FE-4CD1-97CE-460F0F50512A}" name="RCR"/>
    <tableColumn id="2" xr3:uid="{A76BC4F1-F9FF-41F4-9BDC-AF57B3EE28CC}" name="CU"/>
    <tableColumn id="3" xr3:uid="{333B28F8-528B-4B58-BDC7-F763F14355ED}" name="CU1"/>
    <tableColumn id="4" xr3:uid="{7D20A5EA-4C26-45FE-90DD-B1AC5D0E7450}" name="CU2"/>
    <tableColumn id="5" xr3:uid="{60F04D4A-CF2B-4F63-B1A0-2D26878B7FED}" name="CU3"/>
    <tableColumn id="6" xr3:uid="{A6424A66-819B-48AD-BA61-3AA8EA6A7D28}" name="CU4"/>
    <tableColumn id="7" xr3:uid="{9DD24157-3A07-469F-A5E0-E0A66AAD1AD6}" name="CU5"/>
    <tableColumn id="8" xr3:uid="{C2E9208A-037A-4087-9F4F-C78B9710A6F6}" name="CU6"/>
    <tableColumn id="9" xr3:uid="{7B129A2A-A105-45AB-8827-AA2BBD47C73B}" name="CU7"/>
    <tableColumn id="10" xr3:uid="{1F2FA2CE-7AE9-446C-ABAD-CF83E52F07A5}" name="CU8"/>
    <tableColumn id="11" xr3:uid="{0AFCF0E2-2DC0-4413-ABC9-19DFD376B9AF}" name="CU9"/>
    <tableColumn id="12" xr3:uid="{721AF232-9595-41A5-A5A6-C3FC05718255}" name="CU10"/>
    <tableColumn id="13" xr3:uid="{F347F547-36EA-44B7-A175-063999DEA226}" name="CU11"/>
    <tableColumn id="14" xr3:uid="{DAE51935-A991-4916-A521-4C9E8E3FCA89}" name="CU12"/>
    <tableColumn id="15" xr3:uid="{2099CB8E-4D68-4650-8BAA-D5C96E5B8E13}" name="CU13"/>
    <tableColumn id="16" xr3:uid="{234E1255-CC1C-4763-9044-52DAD3EB4CC6}" name="CU14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559AA55C-AE2C-46EF-A108-493D2E3124BB}" name="CUtable42292102" displayName="CUtable42292102" ref="I32:L77" totalsRowShown="0">
  <autoFilter ref="I32:L77" xr:uid="{1895C869-D44F-4135-9B0B-1FC54B546AC1}"/>
  <tableColumns count="4">
    <tableColumn id="1" xr3:uid="{D4157816-1622-466D-9523-8B52AEC87756}" name="RC"/>
    <tableColumn id="2" xr3:uid="{D307AF2F-BE8D-45F4-82C6-2FD1D2B19AA8}" name="RW"/>
    <tableColumn id="4" xr3:uid="{692ACC8B-F076-4B2D-9E65-EE7A640D3600}" name="Size"/>
    <tableColumn id="3" xr3:uid="{5F0CE055-5757-4449-AC11-F0D2CD923B5E}" name="CU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DC0C4E1F-DAC4-48EB-B011-8935DF953F72}" name="Model52393103" displayName="Model52393103" ref="I80:K98" totalsRowShown="0">
  <autoFilter ref="I80:K98" xr:uid="{60489EAB-209D-464C-88CD-E719703A12B4}"/>
  <tableColumns count="3">
    <tableColumn id="1" xr3:uid="{74BD878F-6B0D-4739-A867-400838F3D3DC}" name="Model" dataDxfId="222"/>
    <tableColumn id="2" xr3:uid="{D6F551C5-A12A-4E62-9045-B15943B6CDCF}" name="Lumens" dataDxfId="221"/>
    <tableColumn id="3" xr3:uid="{2AABB672-347D-438E-B8D5-1BF0E9FF002A}" name="Watts" dataDxfId="220"/>
  </tableColumns>
  <tableStyleInfo name="TableStyleMedium7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FB160B1D-9FED-4705-B14B-3F122E3AA210}" name="Table2292494104" displayName="Table2292494104" ref="N87:N92" totalsRowShown="0">
  <autoFilter ref="N87:N92" xr:uid="{524A0BC1-6214-41C4-BB55-444D7E9AAFA8}"/>
  <tableColumns count="1">
    <tableColumn id="1" xr3:uid="{0A91041D-E159-4061-B027-925206A98DD7}" name="RC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34067902-B101-4BD6-A869-D7EF68159764}" name="Table310152595105" displayName="Table310152595105" ref="O87:O90" totalsRowShown="0">
  <autoFilter ref="O87:O90" xr:uid="{E644E126-0CB4-4B16-A438-11D08E96B6CC}"/>
  <tableColumns count="1">
    <tableColumn id="1" xr3:uid="{9DABE634-9364-40BF-B77F-3EAB1090A288}" name="RW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371932B7-BD41-419B-8E9B-B28DDD510DB0}" name="Table411162696106" displayName="Table411162696106" ref="P87:P88" totalsRowShown="0">
  <autoFilter ref="P87:P88" xr:uid="{C27751B9-2B6B-4AFC-8DA0-3193C288A08B}"/>
  <tableColumns count="1">
    <tableColumn id="1" xr3:uid="{A671D2BC-750C-40F3-AC5E-FE31A77B85E9}" name="RF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361ECA16-ABD5-4650-BCDD-510CAFBC2FBF}" name="Model5136146156229" displayName="Model5136146156229" ref="I125:K275" totalsRowShown="0">
  <autoFilter ref="I125:K275" xr:uid="{60489EAB-209D-464C-88CD-E719703A12B4}"/>
  <tableColumns count="3">
    <tableColumn id="1" xr3:uid="{5CE248B8-7EBA-4E47-902E-FD4A69780CA8}" name="Model" dataDxfId="244"/>
    <tableColumn id="2" xr3:uid="{BA0A678F-5C55-49BB-AE93-2C8BA093B49A}" name="Lumens" dataDxfId="243"/>
    <tableColumn id="3" xr3:uid="{7C1EC2D2-007E-4B63-A187-5FB0F864A3AC}" name="Watts" dataDxfId="242"/>
  </tableColumns>
  <tableStyleInfo name="TableStyleMedium7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991AF163-6ECF-496C-BC8B-8731E9118A4C}" name="Table812172797107" displayName="Table812172797107" ref="R87:T89" totalsRowShown="0">
  <autoFilter ref="R87:T89" xr:uid="{8E82A350-E297-4703-B135-7BA15B3077C0}"/>
  <tableColumns count="3">
    <tableColumn id="1" xr3:uid="{14032EF4-86F2-4DF6-8CCB-61504084D7C1}" name="Size"/>
    <tableColumn id="2" xr3:uid="{8850559F-90C2-460D-B41B-1AED28326CFB}" name="0-180"/>
    <tableColumn id="3" xr3:uid="{813E6838-3B01-4236-BD29-B564387F80CB}" name="90-270"/>
  </tableColumns>
  <tableStyleInfo name="TableStyleMedium3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DDDC8040-F663-4559-B010-DEA35448B41A}" name="TablePBLFR98108" displayName="TablePBLFR98108" ref="Z12:AO23" totalsRowShown="0" headerRowDxfId="219" headerRowBorderDxfId="218" tableBorderDxfId="217">
  <autoFilter ref="Z12:AO23" xr:uid="{7D898CA0-2AB7-48D8-8523-94ADF7F85609}"/>
  <tableColumns count="16">
    <tableColumn id="1" xr3:uid="{7AC0A124-4681-4ABD-949B-973DD440DC0E}" name="RCR"/>
    <tableColumn id="2" xr3:uid="{D7F64836-9C20-4804-98BE-FDA2633FB492}" name="CU"/>
    <tableColumn id="3" xr3:uid="{99933158-82CA-4687-837B-2B45E073B806}" name="CU1"/>
    <tableColumn id="4" xr3:uid="{B69C3C27-117A-4476-9374-76D93CDAC4F2}" name="CU2"/>
    <tableColumn id="5" xr3:uid="{8B9B8A84-167B-48AD-A924-17BDEF83E562}" name="CU3"/>
    <tableColumn id="6" xr3:uid="{3DFBDF88-31AF-437E-8347-4FD5F0846283}" name="CU4"/>
    <tableColumn id="7" xr3:uid="{54D0DA41-C94D-4566-B0A3-1E41B9473557}" name="CU5"/>
    <tableColumn id="8" xr3:uid="{4D0C8D45-5920-470F-A2AE-EEFF1A8039B0}" name="CU6"/>
    <tableColumn id="9" xr3:uid="{F6F9D421-CBE2-48F0-9744-AEE32D415B1F}" name="CU7"/>
    <tableColumn id="10" xr3:uid="{BA63E524-CD6D-40DA-BE24-D7F973AB0994}" name="CU8"/>
    <tableColumn id="11" xr3:uid="{5F4FEA6B-55EB-402F-BB91-095B4FF86B94}" name="CU9"/>
    <tableColumn id="12" xr3:uid="{C6311033-9DD8-4B9D-BC82-D694D0E7E809}" name="CU10"/>
    <tableColumn id="13" xr3:uid="{F34F9259-6DD5-4117-8805-12A0BC9440DF}" name="CU11"/>
    <tableColumn id="14" xr3:uid="{FA17250B-0F3B-472B-85B1-2935CC278EE7}" name="CU12"/>
    <tableColumn id="15" xr3:uid="{B4BCF5D3-C637-4588-9462-C54667D40757}" name="CU13"/>
    <tableColumn id="16" xr3:uid="{8755CE5A-DCE2-41D7-8821-A7B81316A0E1}" name="CU14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B5B945AE-5CF8-4E07-8363-604F20036382}" name="Table13192999109" displayName="Table13192999109" ref="V87:V89" totalsRowShown="0">
  <autoFilter ref="V87:V89" xr:uid="{906F8D5B-E188-4A09-8AB3-EC4630FB1196}"/>
  <tableColumns count="1">
    <tableColumn id="1" xr3:uid="{E506A4C3-4C4C-43B2-8379-8A385974BD2D}" name="Orientation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D180E8E-DAC6-4DC7-BED5-22E91E5E9F95}" name="Table1x430100110" displayName="Table1x430100110" ref="AQ12:BF23" totalsRowShown="0" headerRowDxfId="216" headerRowBorderDxfId="215" tableBorderDxfId="214">
  <autoFilter ref="AQ12:BF23" xr:uid="{39533706-340A-4B99-8072-6D7A862652F4}"/>
  <tableColumns count="16">
    <tableColumn id="1" xr3:uid="{DAA6D22F-600A-45B3-946F-9886534A6B26}" name="RCR"/>
    <tableColumn id="2" xr3:uid="{876A1B17-9960-433A-A022-6F668E60B08E}" name="CU"/>
    <tableColumn id="3" xr3:uid="{1EFD2D66-7BD2-47E3-BD9B-C80E63FA33BF}" name="CU1"/>
    <tableColumn id="4" xr3:uid="{C89ACA4C-38D0-438F-942D-3112BB791601}" name="CU2"/>
    <tableColumn id="5" xr3:uid="{02330D4F-7CB3-473F-AD04-6D7EC27D8EAC}" name="CU3"/>
    <tableColumn id="6" xr3:uid="{6A6E5A52-6FEE-40CD-8972-C82216F5E5E1}" name="CU4"/>
    <tableColumn id="7" xr3:uid="{56F4D9B4-9FD7-4D7D-81A7-95393FF9F128}" name="CU5"/>
    <tableColumn id="8" xr3:uid="{B427057B-C493-4CEC-904C-DEFB05DBFE5C}" name="CU6"/>
    <tableColumn id="9" xr3:uid="{069595C5-0D59-4D48-9EE6-CFA7A9305CEB}" name="CU7"/>
    <tableColumn id="10" xr3:uid="{283E8677-A44A-4204-8827-1B26D20C302C}" name="CU8"/>
    <tableColumn id="11" xr3:uid="{7936FF03-71EE-4383-BBA1-A152C16119D5}" name="CU9"/>
    <tableColumn id="12" xr3:uid="{F2EB3431-AC7E-48DB-8B15-592F1A1131C7}" name="CU10"/>
    <tableColumn id="13" xr3:uid="{BCECE856-6B30-48C7-86A7-05E7D48BE716}" name="CU11"/>
    <tableColumn id="14" xr3:uid="{4504A676-3E46-4EFE-BB83-6E834D3118B9}" name="CU12"/>
    <tableColumn id="15" xr3:uid="{C570DBFE-C125-4D72-B89D-D957B1118662}" name="CU13"/>
    <tableColumn id="16" xr3:uid="{7091DDE8-3F2F-4255-999F-1F48FE908891}" name="CU14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C943C8E2-C6CB-4824-ADF3-EE0208EEB6D4}" name="TablePBL41" displayName="TablePBL41" ref="I12:X23" totalsRowShown="0">
  <autoFilter ref="I12:X23" xr:uid="{3261A0F6-56CE-4121-8693-4727BC51A8EC}"/>
  <tableColumns count="16">
    <tableColumn id="1" xr3:uid="{5F999AFE-C945-41DD-82AF-5A5DA582CFB1}" name="RCR"/>
    <tableColumn id="2" xr3:uid="{C4C025D6-5A1C-4E03-8800-D8BE2107B310}" name="CU"/>
    <tableColumn id="3" xr3:uid="{68C9DDDE-FCA5-40BA-A8DD-634C7E889FF7}" name="CU1"/>
    <tableColumn id="4" xr3:uid="{2E215292-B607-41A0-9702-52D6B03AB719}" name="CU2"/>
    <tableColumn id="5" xr3:uid="{D69616B8-68CA-4FAD-9145-5B9EF2BD3E19}" name="CU3"/>
    <tableColumn id="6" xr3:uid="{6042E1CD-60AF-4691-88C5-95E50150D31F}" name="CU4"/>
    <tableColumn id="7" xr3:uid="{91A764EC-C450-4DC5-B06A-B04AA4A0F5FF}" name="CU5"/>
    <tableColumn id="8" xr3:uid="{CCF4C942-AC78-4DBA-889E-AD972A80D4EB}" name="CU6"/>
    <tableColumn id="9" xr3:uid="{2199E49F-C55D-4F0C-AEB0-C82DDF0802FB}" name="CU7"/>
    <tableColumn id="10" xr3:uid="{9D5D221D-9CB1-4B8A-9C34-2F902B40D410}" name="CU8"/>
    <tableColumn id="11" xr3:uid="{5D6323BC-54F4-45BF-99FB-BF5D7F5974F7}" name="CU9"/>
    <tableColumn id="12" xr3:uid="{97EDB551-4731-44C3-B91D-CB5CE45C7ED2}" name="CU10"/>
    <tableColumn id="13" xr3:uid="{0A1C4C5A-EDA2-43D2-9745-E0CBF5D62821}" name="CU11"/>
    <tableColumn id="14" xr3:uid="{F8BF3AC1-4F2A-470E-9880-301A7D7D4A07}" name="CU12"/>
    <tableColumn id="15" xr3:uid="{64BF65FD-2970-4FAF-8108-4C225025ECF6}" name="CU13"/>
    <tableColumn id="16" xr3:uid="{93F00DAB-2548-45D4-AE19-416074DA8E79}" name="CU14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8FBC6CC-3C52-4A3D-9460-28891BC6F631}" name="CUtable42242" displayName="CUtable42242" ref="I32:L77" totalsRowShown="0">
  <autoFilter ref="I32:L77" xr:uid="{1895C869-D44F-4135-9B0B-1FC54B546AC1}"/>
  <tableColumns count="4">
    <tableColumn id="1" xr3:uid="{42108289-1F92-46FC-826A-F5156E0279B1}" name="RC"/>
    <tableColumn id="2" xr3:uid="{B7DD9DC6-68D2-462F-9EDB-DF76883FBE6E}" name="RW"/>
    <tableColumn id="4" xr3:uid="{3F128C94-81FA-4775-8FEC-E3D6465EA7FB}" name="FR"/>
    <tableColumn id="3" xr3:uid="{90652D41-3AF4-4F52-8799-83AFB7174BA9}" name="CU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11CB79C-F15C-4B0F-8806-10CB4E8E7982}" name="Model52343" displayName="Model52343" ref="I80:K101" totalsRowShown="0">
  <autoFilter ref="I80:K101" xr:uid="{60489EAB-209D-464C-88CD-E719703A12B4}"/>
  <tableColumns count="3">
    <tableColumn id="1" xr3:uid="{77269202-5EBC-4108-821D-E3C08E2E2175}" name="Model" dataDxfId="211"/>
    <tableColumn id="2" xr3:uid="{9AA589C2-5C15-4309-ABE8-F2FA27098C43}" name="Lumens" dataDxfId="210"/>
    <tableColumn id="3" xr3:uid="{2E101CF0-4345-4EE7-B854-5A85BDC4219B}" name="Watts" dataDxfId="209"/>
  </tableColumns>
  <tableStyleInfo name="TableStyleMedium7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C60D301-1FB0-40A3-B393-3D1AE6BDA993}" name="Table2292444" displayName="Table2292444" ref="N87:N92" totalsRowShown="0">
  <autoFilter ref="N87:N92" xr:uid="{524A0BC1-6214-41C4-BB55-444D7E9AAFA8}"/>
  <tableColumns count="1">
    <tableColumn id="1" xr3:uid="{C63C154A-D241-46C5-AA3D-DCA7FE7F7C07}" name="RC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5D1FD42-CCF7-4375-B87D-86C42E73B82A}" name="Table310152545" displayName="Table310152545" ref="O87:O90" totalsRowShown="0">
  <autoFilter ref="O87:O90" xr:uid="{E644E126-0CB4-4B16-A438-11D08E96B6CC}"/>
  <tableColumns count="1">
    <tableColumn id="1" xr3:uid="{D018825C-D492-46E5-889B-A4E41E6DFA3E}" name="RW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9F96D0FD-43C5-4D14-A505-A5BF81D5CA93}" name="Table411162646" displayName="Table411162646" ref="P87:P88" totalsRowShown="0">
  <autoFilter ref="P87:P88" xr:uid="{C27751B9-2B6B-4AFC-8DA0-3193C288A08B}"/>
  <tableColumns count="1">
    <tableColumn id="1" xr3:uid="{18F05C45-3652-4BEA-AEDC-0E9F8DBE11CA}" name="RF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574ECBB3-6C0B-4513-8CFB-3A7FBAF49821}" name="Table229137147157230" displayName="Table229137147157230" ref="N125:N130" totalsRowShown="0">
  <autoFilter ref="N125:N130" xr:uid="{524A0BC1-6214-41C4-BB55-444D7E9AAFA8}"/>
  <tableColumns count="1">
    <tableColumn id="1" xr3:uid="{673C5566-BA16-4E4A-B450-478AEDC58D92}" name="RC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7CFC4E1-735A-43BF-AEE1-EE1B029E262A}" name="Table812172747" displayName="Table812172747" ref="R87:T89" totalsRowShown="0">
  <autoFilter ref="R87:T89" xr:uid="{8E82A350-E297-4703-B135-7BA15B3077C0}"/>
  <tableColumns count="3">
    <tableColumn id="1" xr3:uid="{42C09DB4-AE8C-4834-93CE-1A3F7D6DA3FD}" name="FR"/>
    <tableColumn id="2" xr3:uid="{023B7951-0AAC-40A4-963B-F2125BCA3E7E}" name="0-180"/>
    <tableColumn id="3" xr3:uid="{4BEE8BAE-6D7B-42BF-BE8F-D08FF95A2A24}" name="90-270"/>
  </tableColumns>
  <tableStyleInfo name="TableStyleMedium3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9011EA76-BFFF-4453-8D14-255BF7318B47}" name="TablePBLFR48" displayName="TablePBLFR48" ref="Z12:AO23" totalsRowShown="0" headerRowDxfId="208" headerRowBorderDxfId="207" tableBorderDxfId="206">
  <autoFilter ref="Z12:AO23" xr:uid="{7D898CA0-2AB7-48D8-8523-94ADF7F85609}"/>
  <tableColumns count="16">
    <tableColumn id="1" xr3:uid="{32557FB3-A2F3-4238-B0E1-2B79A9C28C48}" name="RCR"/>
    <tableColumn id="2" xr3:uid="{0B0B6D2E-5C9B-4CA8-A6DF-6DDCF102A923}" name="CU"/>
    <tableColumn id="3" xr3:uid="{60D7B303-AB35-4303-9639-325AC9A4FC39}" name="CU1"/>
    <tableColumn id="4" xr3:uid="{EDC4A0C1-58FF-478C-BCFE-5D378CAB3288}" name="CU2"/>
    <tableColumn id="5" xr3:uid="{5B8EF38E-0ED7-42FA-81ED-C555FA36B145}" name="CU3"/>
    <tableColumn id="6" xr3:uid="{903A4C14-5857-458E-894B-9B13A1DF31D4}" name="CU4"/>
    <tableColumn id="7" xr3:uid="{A850835F-CDFC-48DF-BACB-F2D9E5F3D00E}" name="CU5"/>
    <tableColumn id="8" xr3:uid="{5080E83E-72A6-49DA-B8BE-27A2EB34425B}" name="CU6"/>
    <tableColumn id="9" xr3:uid="{9EC16E28-36DE-4F56-9BE4-4A460DD244C5}" name="CU7"/>
    <tableColumn id="10" xr3:uid="{05D7596E-B02F-4D7D-AB40-023C64014766}" name="CU8"/>
    <tableColumn id="11" xr3:uid="{425BD6D9-AFD3-4D35-B1F7-FD6129620BF6}" name="CU9"/>
    <tableColumn id="12" xr3:uid="{7F1EE613-AC74-41A1-BEF8-904928612A8E}" name="CU10"/>
    <tableColumn id="13" xr3:uid="{644DB61A-F733-4582-BE5B-485EB84359A4}" name="CU11"/>
    <tableColumn id="14" xr3:uid="{8BD9CFFC-AFBD-407E-B91C-1C2CE70FF5D2}" name="CU12"/>
    <tableColumn id="15" xr3:uid="{BE39C19E-59FD-44C2-8269-38EC26F58E5D}" name="CU13"/>
    <tableColumn id="16" xr3:uid="{90EB872B-5264-4DCB-8E32-D04CD7318343}" name="CU14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786783CD-38FA-4105-950F-ADF8C99AA41A}" name="Table13192949" displayName="Table13192949" ref="V87:V89" totalsRowShown="0">
  <autoFilter ref="V87:V89" xr:uid="{906F8D5B-E188-4A09-8AB3-EC4630FB1196}"/>
  <tableColumns count="1">
    <tableColumn id="1" xr3:uid="{698E1A04-8141-43CE-B050-B27C21CA607B}" name="Orientation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25A0E2B4-2FE6-4741-8C65-55037AAFC391}" name="Table1x43050" displayName="Table1x43050" ref="AQ12:BF23" totalsRowShown="0" headerRowDxfId="205" headerRowBorderDxfId="204" tableBorderDxfId="203">
  <autoFilter ref="AQ12:BF23" xr:uid="{39533706-340A-4B99-8072-6D7A862652F4}"/>
  <tableColumns count="16">
    <tableColumn id="1" xr3:uid="{C11E8864-AC74-498C-9579-05340DC27536}" name="RCR"/>
    <tableColumn id="2" xr3:uid="{E5EEAF9A-EEB4-4482-8554-C094839850FF}" name="CU"/>
    <tableColumn id="3" xr3:uid="{6745D2A6-EDC7-4927-93BC-33DEC5D9844F}" name="CU1"/>
    <tableColumn id="4" xr3:uid="{F4E85980-20AA-47B9-8827-BE96A178F32C}" name="CU2"/>
    <tableColumn id="5" xr3:uid="{DD0C8363-739A-46A9-BFFF-E6D2FAA2546F}" name="CU3"/>
    <tableColumn id="6" xr3:uid="{350EA005-F6FC-4492-9873-D6649B4070C9}" name="CU4"/>
    <tableColumn id="7" xr3:uid="{1296C2D9-2DEB-42E3-8E74-4BB6CFCF5743}" name="CU5"/>
    <tableColumn id="8" xr3:uid="{D421670A-7049-41BA-9B5B-D421DEB657C7}" name="CU6"/>
    <tableColumn id="9" xr3:uid="{0ACAF624-7423-4B7F-974D-5A94BC1E35B7}" name="CU7"/>
    <tableColumn id="10" xr3:uid="{3F1EF721-B8A4-4ED7-8911-E3587D24AEC7}" name="CU8"/>
    <tableColumn id="11" xr3:uid="{4B3F785F-1F3F-44ED-B08D-537EB2B3A19A}" name="CU9"/>
    <tableColumn id="12" xr3:uid="{C261BE2B-E9AA-4DC7-A6CF-BDB1BD31BA32}" name="CU10"/>
    <tableColumn id="13" xr3:uid="{11043A55-5E1A-4D2B-AAB8-611C07BCA39D}" name="CU11"/>
    <tableColumn id="14" xr3:uid="{D2C8A75F-624A-462D-8CBA-A8E5A0AA0ACE}" name="CU12"/>
    <tableColumn id="15" xr3:uid="{C377059C-B64E-4648-979A-1CF291D03858}" name="CU13"/>
    <tableColumn id="16" xr3:uid="{9FA48F93-AF9D-4EF2-B9D4-0CDF9D23E8DC}" name="CU14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C0B8A10A-679C-4210-93DC-C07EA4AF9EFD}" name="TablePBL111" displayName="TablePBL111" ref="I12:X23" totalsRowShown="0">
  <autoFilter ref="I12:X23" xr:uid="{3261A0F6-56CE-4121-8693-4727BC51A8EC}"/>
  <tableColumns count="16">
    <tableColumn id="1" xr3:uid="{880BE5D6-675B-4E3A-B520-96ECAAC143A7}" name="RCR"/>
    <tableColumn id="2" xr3:uid="{A3FD5B9E-3AA7-41E2-A0A7-E6AFD0D0389C}" name="CU"/>
    <tableColumn id="3" xr3:uid="{2E02EF4E-81ED-465C-BEB2-9FFF5C704296}" name="CU1"/>
    <tableColumn id="4" xr3:uid="{6E900C0F-D9C9-4B9D-BF00-A5D162AF64A9}" name="CU2"/>
    <tableColumn id="5" xr3:uid="{E32C5FAA-EB16-49E8-A9D0-53783C7D4652}" name="CU3"/>
    <tableColumn id="6" xr3:uid="{0979CABA-9999-4366-B169-758388047912}" name="CU4"/>
    <tableColumn id="7" xr3:uid="{5116BE09-D20E-46CF-9110-62D58BCA46CA}" name="CU5"/>
    <tableColumn id="8" xr3:uid="{17F76D81-60AF-4C15-A1C5-1FE3A4EE453C}" name="CU6"/>
    <tableColumn id="9" xr3:uid="{100E1FF5-54AB-43E3-AFF0-0E1E57C5CA00}" name="CU7"/>
    <tableColumn id="10" xr3:uid="{3382C492-CED4-4A65-ACDC-EC308F314BB3}" name="CU8"/>
    <tableColumn id="11" xr3:uid="{5A7E514F-747D-4FCC-A6BA-B547BD432769}" name="CU9"/>
    <tableColumn id="12" xr3:uid="{669D532F-837E-4A3C-A463-4E830FC3EA39}" name="CU10"/>
    <tableColumn id="13" xr3:uid="{EAFB4325-8BA2-4F81-B405-86E045A485A2}" name="CU11"/>
    <tableColumn id="14" xr3:uid="{F3C05D4C-B472-446D-B64A-B0208B33FE23}" name="CU12"/>
    <tableColumn id="15" xr3:uid="{8EE1F945-F7CF-4063-9E99-C87EDCA93D8A}" name="CU13"/>
    <tableColumn id="16" xr3:uid="{6210D680-EE5F-4872-9179-7C6B2FD1438E}" name="CU14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45F2DA5D-9CB8-421E-AAD4-93F6B310D7DA}" name="CUtable422112" displayName="CUtable422112" ref="I32:L77" totalsRowShown="0">
  <autoFilter ref="I32:L77" xr:uid="{1895C869-D44F-4135-9B0B-1FC54B546AC1}"/>
  <tableColumns count="4">
    <tableColumn id="1" xr3:uid="{460F6338-EE6F-4C75-88F9-68EB15D06654}" name="RC"/>
    <tableColumn id="2" xr3:uid="{B6665F81-C95F-4063-BC7A-5AB283037AD0}" name="RW"/>
    <tableColumn id="4" xr3:uid="{6A348E2D-B88A-4FC4-A085-C7F023E85B5F}" name="FR"/>
    <tableColumn id="3" xr3:uid="{0501BB3A-0828-4AE3-A354-05F93B759459}" name="CU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47166FFA-D87F-48AB-91FB-C482ED11ABE6}" name="Model523113" displayName="Model523113" ref="I80:K89" totalsRowShown="0">
  <autoFilter ref="I80:K89" xr:uid="{60489EAB-209D-464C-88CD-E719703A12B4}"/>
  <tableColumns count="3">
    <tableColumn id="1" xr3:uid="{18B5EF20-4E45-43EB-8066-FA972C432962}" name="Model" dataDxfId="200"/>
    <tableColumn id="2" xr3:uid="{242BEAE2-70C2-4889-86BB-1C93D958AD23}" name="Lumens" dataDxfId="199"/>
    <tableColumn id="3" xr3:uid="{8045CDD6-C3B7-46D5-A3DF-6B2623945DB4}" name="Watts" dataDxfId="198"/>
  </tableColumns>
  <tableStyleInfo name="TableStyleMedium7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712530ED-CB85-4186-8DF0-C07F7B123742}" name="Table22924114" displayName="Table22924114" ref="N87:N92" totalsRowShown="0">
  <autoFilter ref="N87:N92" xr:uid="{524A0BC1-6214-41C4-BB55-444D7E9AAFA8}"/>
  <tableColumns count="1">
    <tableColumn id="1" xr3:uid="{219EECD4-74BC-4B03-B3A1-0A9DF20F59D4}" name="RC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C35BA975-D9FD-42FD-AD6D-EFD1FD8380D7}" name="Table3101525115" displayName="Table3101525115" ref="O87:O90" totalsRowShown="0">
  <autoFilter ref="O87:O90" xr:uid="{E644E126-0CB4-4B16-A438-11D08E96B6CC}"/>
  <tableColumns count="1">
    <tableColumn id="1" xr3:uid="{9C30E329-EE47-4F53-8B9C-AFCAEB7E683E}" name="RW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F409D7BC-04F9-47C5-A31B-DAD34F13150D}" name="Table4111626116" displayName="Table4111626116" ref="P87:P88" totalsRowShown="0">
  <autoFilter ref="P87:P88" xr:uid="{C27751B9-2B6B-4AFC-8DA0-3193C288A08B}"/>
  <tableColumns count="1">
    <tableColumn id="1" xr3:uid="{91508780-B6E7-4BC7-A179-E7478F646D6C}" name="RF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8F41439C-0327-44B3-AF5E-DF7B9ECE20A1}" name="Table31015138148158231" displayName="Table31015138148158231" ref="O125:O128" totalsRowShown="0">
  <autoFilter ref="O125:O128" xr:uid="{E644E126-0CB4-4B16-A438-11D08E96B6CC}"/>
  <tableColumns count="1">
    <tableColumn id="1" xr3:uid="{2E6D533C-7300-4493-BA0B-F8E3B6CA57E3}" name="RW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785F987A-8E58-4D87-B588-5F06580A8339}" name="Table8121727117" displayName="Table8121727117" ref="R87:T89" totalsRowShown="0">
  <autoFilter ref="R87:T89" xr:uid="{8E82A350-E297-4703-B135-7BA15B3077C0}"/>
  <tableColumns count="3">
    <tableColumn id="1" xr3:uid="{0E0EA52C-FEBB-428C-93F5-3E80D666FC7C}" name="FR"/>
    <tableColumn id="2" xr3:uid="{5C6EEA0C-1CFF-4C26-B1C3-CEC8345AD4B8}" name="0-180"/>
    <tableColumn id="3" xr3:uid="{DFC7B90C-C49B-46A6-8F6B-9D1514F7BE74}" name="90-270"/>
  </tableColumns>
  <tableStyleInfo name="TableStyleMedium3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7A668518-E77E-46DD-93DE-42F2E4791F60}" name="TablePBLFR118" displayName="TablePBLFR118" ref="Z12:AO23" totalsRowShown="0" headerRowDxfId="197" headerRowBorderDxfId="196" tableBorderDxfId="195">
  <autoFilter ref="Z12:AO23" xr:uid="{7D898CA0-2AB7-48D8-8523-94ADF7F85609}"/>
  <tableColumns count="16">
    <tableColumn id="1" xr3:uid="{F52667D6-CA81-4B7A-BB58-1D2869D9C52D}" name="RCR"/>
    <tableColumn id="2" xr3:uid="{FD63FD96-8762-47C1-B0A2-2884640A34C7}" name="CU"/>
    <tableColumn id="3" xr3:uid="{831F764B-448D-405F-9B31-19CD2E513318}" name="CU1"/>
    <tableColumn id="4" xr3:uid="{DAA84F2C-4E4D-44C5-8762-8A69C5FCEF36}" name="CU2"/>
    <tableColumn id="5" xr3:uid="{FD2F6DDE-9617-48E6-A14C-101D27109FD2}" name="CU3"/>
    <tableColumn id="6" xr3:uid="{102E0A07-9C95-411A-9DC9-ACA3704BCFFD}" name="CU4"/>
    <tableColumn id="7" xr3:uid="{16FFFBC2-A309-4C18-8704-3FC485BBF4BC}" name="CU5"/>
    <tableColumn id="8" xr3:uid="{D3661816-61FF-4D99-8F08-A85A6D0E205C}" name="CU6"/>
    <tableColumn id="9" xr3:uid="{9FC6FA03-056F-4C15-8FD7-2EA26026226D}" name="CU7"/>
    <tableColumn id="10" xr3:uid="{C9A68F14-F181-44BE-BB31-9B80F965F2A9}" name="CU8"/>
    <tableColumn id="11" xr3:uid="{B714CFB1-4C0B-459D-8C87-679B570331B3}" name="CU9"/>
    <tableColumn id="12" xr3:uid="{B33E8978-830A-4F6A-8482-B0559763BF49}" name="CU10"/>
    <tableColumn id="13" xr3:uid="{E63B0245-27CC-4AD9-93FF-ECD7CACC56A8}" name="CU11"/>
    <tableColumn id="14" xr3:uid="{58E45EA3-85B1-40AC-90C1-C8FB315FBEB8}" name="CU12"/>
    <tableColumn id="15" xr3:uid="{6AAAB6EB-A0FE-45A9-8C54-56DAA723BF44}" name="CU13"/>
    <tableColumn id="16" xr3:uid="{20EDB7D9-6319-45FD-8CCF-D51FEDF104FF}" name="CU14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7D999CBA-27E4-45FD-8FDC-05561D46C137}" name="Table131929119" displayName="Table131929119" ref="V87:V89" totalsRowShown="0">
  <autoFilter ref="V87:V89" xr:uid="{906F8D5B-E188-4A09-8AB3-EC4630FB1196}"/>
  <tableColumns count="1">
    <tableColumn id="1" xr3:uid="{47D6FD0D-C92B-4D82-B714-A03AFE47C34F}" name="Orientation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3B9C2521-ED7C-45DF-9532-74A276FE3764}" name="Table1x430120" displayName="Table1x430120" ref="AQ12:BF23" totalsRowShown="0" headerRowDxfId="194" headerRowBorderDxfId="193" tableBorderDxfId="192">
  <autoFilter ref="AQ12:BF23" xr:uid="{39533706-340A-4B99-8072-6D7A862652F4}"/>
  <tableColumns count="16">
    <tableColumn id="1" xr3:uid="{83464CC5-5A95-4582-982F-822B0E424243}" name="RCR"/>
    <tableColumn id="2" xr3:uid="{4BB2BB1A-79FA-405E-99B1-155CE5429B0A}" name="CU"/>
    <tableColumn id="3" xr3:uid="{BE137B3C-E22D-47C1-8D28-316325A13D23}" name="CU1"/>
    <tableColumn id="4" xr3:uid="{745EE1D2-D24C-49B0-A87B-BDE063ED1679}" name="CU2"/>
    <tableColumn id="5" xr3:uid="{B98D6BB0-7A79-4E85-957A-75D709F92329}" name="CU3"/>
    <tableColumn id="6" xr3:uid="{97F8DC1C-71A5-435B-BFB7-5D3ED42CF8C1}" name="CU4"/>
    <tableColumn id="7" xr3:uid="{9ED726DE-CE5C-4B96-A5C4-F305931CD4FE}" name="CU5"/>
    <tableColumn id="8" xr3:uid="{05722259-90D8-43BE-A821-26DB48931AE7}" name="CU6"/>
    <tableColumn id="9" xr3:uid="{96B109DA-5AAE-400F-946D-3ACA5D2B1706}" name="CU7"/>
    <tableColumn id="10" xr3:uid="{C7C3654D-AFAF-4676-8B58-D9703BCE2801}" name="CU8"/>
    <tableColumn id="11" xr3:uid="{CAF3EC3C-A900-47E4-B64B-FAC679C1B815}" name="CU9"/>
    <tableColumn id="12" xr3:uid="{4071D8D5-EE9E-42DC-8684-CE972DF485B2}" name="CU10"/>
    <tableColumn id="13" xr3:uid="{FFEA2DB4-88EB-4580-B17D-0232EF9B9B47}" name="CU11"/>
    <tableColumn id="14" xr3:uid="{EFC040CB-92B5-48E2-9A0F-8C03FD772FFD}" name="CU12"/>
    <tableColumn id="15" xr3:uid="{D37980B5-3EE9-4722-8303-BFBB31B0799A}" name="CU13"/>
    <tableColumn id="16" xr3:uid="{47617ECC-281A-4D68-9F07-DA74966BCA06}" name="CU14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F09D29-E4CF-419E-B539-A19905292FB8}" name="TablePBL71" displayName="TablePBL71" ref="I12:X23" totalsRowShown="0">
  <autoFilter ref="I12:X23" xr:uid="{3261A0F6-56CE-4121-8693-4727BC51A8EC}"/>
  <tableColumns count="16">
    <tableColumn id="1" xr3:uid="{733C4389-11AF-45B8-839F-07D70F2F67E0}" name="RCR"/>
    <tableColumn id="2" xr3:uid="{800B08BB-B36D-4849-AF94-2B749491DC40}" name="CU"/>
    <tableColumn id="3" xr3:uid="{C7F6518B-7D85-41A2-BAFA-092EE3C05170}" name="CU1"/>
    <tableColumn id="4" xr3:uid="{2B180B60-8D6E-4AAC-A7F3-BEA9CDED510A}" name="CU2"/>
    <tableColumn id="5" xr3:uid="{DD9C2043-5923-4632-95A2-8C1DF13ACADC}" name="CU3"/>
    <tableColumn id="6" xr3:uid="{D494D76C-237E-4405-ACFD-B034C4F2B119}" name="CU4"/>
    <tableColumn id="7" xr3:uid="{A32A6930-E4E5-48B8-8605-5ACFDFFC6C4E}" name="CU5"/>
    <tableColumn id="8" xr3:uid="{E9A30EDD-5D74-47E6-93AC-3CB736EF7F46}" name="CU6"/>
    <tableColumn id="9" xr3:uid="{DDE26A97-168A-45AD-9638-C16D9EBD89C8}" name="CU7"/>
    <tableColumn id="10" xr3:uid="{4AEE769D-EC5C-4768-98CD-037C2BF7ACB1}" name="CU8"/>
    <tableColumn id="11" xr3:uid="{B8915142-EB2D-4B18-9AE0-FA9F8F50086F}" name="CU9"/>
    <tableColumn id="12" xr3:uid="{097FFAF7-E50D-40B0-BC37-DD45E8303B93}" name="CU10"/>
    <tableColumn id="13" xr3:uid="{963F6369-7DE1-430C-8C37-1B87FC77626B}" name="CU11"/>
    <tableColumn id="14" xr3:uid="{7C4F5A76-6DDC-4EE9-82DB-CEADFFF70996}" name="CU12"/>
    <tableColumn id="15" xr3:uid="{96A7EF25-18C5-4940-A4A3-27D2D59CAB7D}" name="CU13"/>
    <tableColumn id="16" xr3:uid="{D2307FF4-CA8E-4B6D-9414-400A3AE3908C}" name="CU14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4B249470-8EC8-4941-8E99-8000FC8D507F}" name="CUtable42272" displayName="CUtable42272" ref="I32:L77" totalsRowShown="0">
  <autoFilter ref="I32:L77" xr:uid="{1895C869-D44F-4135-9B0B-1FC54B546AC1}"/>
  <tableColumns count="4">
    <tableColumn id="1" xr3:uid="{B3DC190A-E71D-4F9B-BF5C-EB076DF9836A}" name="RC"/>
    <tableColumn id="2" xr3:uid="{0F869CF9-AD58-4055-B011-FF6FB1693C3A}" name="RW"/>
    <tableColumn id="4" xr3:uid="{AC41471B-B07A-40CE-82BF-EEF2E935D8A2}" name="Lens"/>
    <tableColumn id="3" xr3:uid="{15EDA2A2-628C-4A08-A698-CD4F63C74D33}" name="CU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F1B4215F-4DE8-4BC5-95C6-E9D77BC0FA13}" name="Model52373" displayName="Model52373" ref="I80:K107" totalsRowShown="0">
  <autoFilter ref="I80:K107" xr:uid="{60489EAB-209D-464C-88CD-E719703A12B4}"/>
  <tableColumns count="3">
    <tableColumn id="1" xr3:uid="{84188FB5-F5FA-4A5E-BB6A-2A67F7D0F28F}" name="Model" dataDxfId="189"/>
    <tableColumn id="2" xr3:uid="{631D2450-A16B-4F9F-AE0B-934FCE347E75}" name="Lumens" dataDxfId="188"/>
    <tableColumn id="3" xr3:uid="{F71C6F8C-EE9A-4553-A5B0-5A8D03991B6D}" name="Watts" dataDxfId="187"/>
  </tableColumns>
  <tableStyleInfo name="TableStyleMedium7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911F411-0034-4AF7-83F8-BE1D2C036F73}" name="Table2292474" displayName="Table2292474" ref="N87:N92" totalsRowShown="0">
  <autoFilter ref="N87:N92" xr:uid="{524A0BC1-6214-41C4-BB55-444D7E9AAFA8}"/>
  <tableColumns count="1">
    <tableColumn id="1" xr3:uid="{3F316AEF-ADEA-49E8-929A-ADB073D84534}" name="RC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426ED694-ABB9-4392-AB2A-7F192D88A7E1}" name="Table310152575" displayName="Table310152575" ref="O87:O90" totalsRowShown="0">
  <autoFilter ref="O87:O90" xr:uid="{E644E126-0CB4-4B16-A438-11D08E96B6CC}"/>
  <tableColumns count="1">
    <tableColumn id="1" xr3:uid="{C4A88732-A781-4933-BA68-4B9913D9C053}" name="RW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8BD1D449-120B-4D27-8F92-5E90250C9B11}" name="Table411162676" displayName="Table411162676" ref="P87:P88" totalsRowShown="0">
  <autoFilter ref="P87:P88" xr:uid="{C27751B9-2B6B-4AFC-8DA0-3193C288A08B}"/>
  <tableColumns count="1">
    <tableColumn id="1" xr3:uid="{1F9D08C4-7865-415E-AD74-0E26E04B485E}" name="RF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3CFEAA20-7E57-4F67-958E-3F30924FF059}" name="Table41116139149159232" displayName="Table41116139149159232" ref="P125:P126" totalsRowShown="0">
  <autoFilter ref="P125:P126" xr:uid="{C27751B9-2B6B-4AFC-8DA0-3193C288A08B}"/>
  <tableColumns count="1">
    <tableColumn id="1" xr3:uid="{9F7D9339-BC99-4742-BE8D-27AC5908ADF6}" name="RF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D654290E-AE12-4488-9BBC-8637F7F6DD88}" name="Table812172777" displayName="Table812172777" ref="R87:T90" totalsRowShown="0">
  <autoFilter ref="R87:T90" xr:uid="{8E82A350-E297-4703-B135-7BA15B3077C0}"/>
  <tableColumns count="3">
    <tableColumn id="1" xr3:uid="{F08210AD-48B3-4BDD-B5F5-ADDF05D01778}" name="Lens"/>
    <tableColumn id="2" xr3:uid="{CCB51BDE-C6A1-4231-8451-3F27A073EF1D}" name="0-180"/>
    <tableColumn id="3" xr3:uid="{A4C551C6-CADC-4B99-BD87-DE17939EC007}" name="90-270"/>
  </tableColumns>
  <tableStyleInfo name="TableStyleMedium3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66FA7266-11DA-4B39-80AF-5E841FBB6A91}" name="TablePBLFR78" displayName="TablePBLFR78" ref="Z12:AO23" totalsRowShown="0" headerRowDxfId="186" headerRowBorderDxfId="185" tableBorderDxfId="184">
  <autoFilter ref="Z12:AO23" xr:uid="{7D898CA0-2AB7-48D8-8523-94ADF7F85609}"/>
  <tableColumns count="16">
    <tableColumn id="1" xr3:uid="{2A07D016-F822-4052-B240-A68CA0256AE4}" name="RCR"/>
    <tableColumn id="2" xr3:uid="{4FE7130F-3457-4C30-8B9D-64431C450EFD}" name="CU"/>
    <tableColumn id="3" xr3:uid="{A7543A87-B000-4CE7-9153-5E03C655DE2D}" name="CU1"/>
    <tableColumn id="4" xr3:uid="{26942E20-F510-49C9-A34C-826B405613CF}" name="CU2"/>
    <tableColumn id="5" xr3:uid="{4A537104-4ED2-40F9-99AF-8C9AE6639DBC}" name="CU3"/>
    <tableColumn id="6" xr3:uid="{AB6DB25A-DE39-4196-BA99-4A47192819B6}" name="CU4"/>
    <tableColumn id="7" xr3:uid="{EE5C41DF-C87C-4081-8F1E-2662A667AED6}" name="CU5"/>
    <tableColumn id="8" xr3:uid="{C99B5844-8313-44EE-83FC-C542D09AD88D}" name="CU6"/>
    <tableColumn id="9" xr3:uid="{079F70EB-A5B0-4182-ACAB-AA4C741D3C83}" name="CU7"/>
    <tableColumn id="10" xr3:uid="{6594F164-C79A-46A8-9098-99C186E7C63B}" name="CU8"/>
    <tableColumn id="11" xr3:uid="{B894100B-442B-4B3E-A42C-2EBA56F925E4}" name="CU9"/>
    <tableColumn id="12" xr3:uid="{A889553B-26DE-44A0-ADF8-33FFBA726585}" name="CU10"/>
    <tableColumn id="13" xr3:uid="{75BD6676-B560-413B-9830-10610C8D73E7}" name="CU11"/>
    <tableColumn id="14" xr3:uid="{5530A109-8205-4495-9E8E-88302D1978FD}" name="CU12"/>
    <tableColumn id="15" xr3:uid="{DCC64193-E5F3-4AB1-870D-1664F78A7D8C}" name="CU13"/>
    <tableColumn id="16" xr3:uid="{9EF4E703-2621-42DD-9EE9-DC28CE878CC0}" name="CU14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E95FE800-34C2-4A2E-BF3C-7C6171961DDA}" name="Table13192979" displayName="Table13192979" ref="V87:V89" totalsRowShown="0">
  <autoFilter ref="V87:V89" xr:uid="{906F8D5B-E188-4A09-8AB3-EC4630FB1196}"/>
  <tableColumns count="1">
    <tableColumn id="1" xr3:uid="{764B8270-CC2A-4A07-A137-77DAF494B328}" name="Orientation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F917323-C944-49F1-94D2-A5F221AFBA75}" name="Table1x43080" displayName="Table1x43080" ref="AQ12:BF23" totalsRowShown="0" headerRowDxfId="183" headerRowBorderDxfId="182" tableBorderDxfId="181">
  <autoFilter ref="AQ12:BF23" xr:uid="{39533706-340A-4B99-8072-6D7A862652F4}"/>
  <tableColumns count="16">
    <tableColumn id="1" xr3:uid="{5386B1E8-B900-40A8-BA01-68A249DEC974}" name="RCR"/>
    <tableColumn id="2" xr3:uid="{168AD1DC-27C1-414F-844F-3905DB65B67E}" name="CU"/>
    <tableColumn id="3" xr3:uid="{D99AC815-7A6C-480C-8404-3871DFE8DCC7}" name="CU1"/>
    <tableColumn id="4" xr3:uid="{C27A4927-8548-48F8-B1CD-7EEA86B6386D}" name="CU2"/>
    <tableColumn id="5" xr3:uid="{CE071361-C6E7-4143-BB9D-86B81CE52EC5}" name="CU3"/>
    <tableColumn id="6" xr3:uid="{B35E461B-EAE7-4DAF-AA82-9E26FC0605DB}" name="CU4"/>
    <tableColumn id="7" xr3:uid="{70CDD15D-B0A0-4BE3-A8C2-D9EA066C8D3C}" name="CU5"/>
    <tableColumn id="8" xr3:uid="{9F05652A-2DE1-402C-951F-8388E67A8014}" name="CU6"/>
    <tableColumn id="9" xr3:uid="{C2627873-4C92-4682-901A-01ADBB27AB68}" name="CU7"/>
    <tableColumn id="10" xr3:uid="{9A4A0587-3F73-48A7-A4C4-C71DB3D06C15}" name="CU8"/>
    <tableColumn id="11" xr3:uid="{4F6D03A1-71B3-4F25-9FF5-EB8BC897221A}" name="CU9"/>
    <tableColumn id="12" xr3:uid="{CA9D133E-0141-4586-B476-382C257B9D29}" name="CU10"/>
    <tableColumn id="13" xr3:uid="{ECC7C000-1070-46B7-B8F6-A665B3003B00}" name="CU11"/>
    <tableColumn id="14" xr3:uid="{69C092A3-8C29-4AE4-BE85-D555039CB5FE}" name="CU12"/>
    <tableColumn id="15" xr3:uid="{CC426EF9-C4AF-46C8-A27A-B886A04256BB}" name="CU13"/>
    <tableColumn id="16" xr3:uid="{47C007FA-2060-4F26-9F41-0F40B8D3330B}" name="CU14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8DE2FC0B-AA40-4EF3-881F-FE6E8C62B4C7}" name="TablePBL7181" displayName="TablePBL7181" ref="I12:X23" totalsRowShown="0">
  <autoFilter ref="I12:X23" xr:uid="{3261A0F6-56CE-4121-8693-4727BC51A8EC}"/>
  <tableColumns count="16">
    <tableColumn id="1" xr3:uid="{15D8E778-4799-49D0-9E80-2BB2C1C1284E}" name="RCR"/>
    <tableColumn id="2" xr3:uid="{F3015C87-C6F1-4D44-AE3B-5F9ABAE16F25}" name="CU"/>
    <tableColumn id="3" xr3:uid="{57686111-019C-426C-9B73-C07D335CF658}" name="CU1"/>
    <tableColumn id="4" xr3:uid="{0725AA3D-03F2-436C-93C9-2390E32FC029}" name="CU2"/>
    <tableColumn id="5" xr3:uid="{0962897F-E30A-42CD-94B5-DA976E3BBC69}" name="CU3"/>
    <tableColumn id="6" xr3:uid="{D949F551-E92D-4ACE-8B56-84A3DAFE413B}" name="CU4"/>
    <tableColumn id="7" xr3:uid="{F80160BD-6846-4770-AB8F-EC9AFEDF461E}" name="CU5"/>
    <tableColumn id="8" xr3:uid="{A4ED67DC-05C9-4A41-B191-5C7F62A27332}" name="CU6"/>
    <tableColumn id="9" xr3:uid="{126C879B-A8A8-4621-B933-ABA20AAE1A63}" name="CU7"/>
    <tableColumn id="10" xr3:uid="{6A762DED-D6BA-495C-8D5C-C86A2EDB61F4}" name="CU8"/>
    <tableColumn id="11" xr3:uid="{61C47F49-C513-4561-BC0A-D8A94FBBBDB1}" name="CU9"/>
    <tableColumn id="12" xr3:uid="{2D64B945-47CA-4311-8674-E32EEB8C2C3B}" name="CU10"/>
    <tableColumn id="13" xr3:uid="{7518EE4D-7BA4-4B24-8955-F42B82E9946E}" name="CU11"/>
    <tableColumn id="14" xr3:uid="{13C8DED2-7F47-499F-B97F-FD70E03CE580}" name="CU12"/>
    <tableColumn id="15" xr3:uid="{CF040814-F4DC-4163-9DB9-BDACB819D84A}" name="CU13"/>
    <tableColumn id="16" xr3:uid="{82431239-9BB1-48D5-8E5F-BE6DEE35813A}" name="CU14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7DDA0518-0CC7-4E35-9F00-C21E0ED3F1CC}" name="CUtable4227282" displayName="CUtable4227282" ref="I32:L77" totalsRowShown="0">
  <autoFilter ref="I32:L77" xr:uid="{1895C869-D44F-4135-9B0B-1FC54B546AC1}"/>
  <tableColumns count="4">
    <tableColumn id="1" xr3:uid="{90C65FB5-C7A9-4B24-8ADE-DE9F9F166B99}" name="RC"/>
    <tableColumn id="2" xr3:uid="{504B9954-1215-4ADE-9785-8A1960D8C200}" name="RW"/>
    <tableColumn id="4" xr3:uid="{E689D8BB-682A-4CFB-8C8B-882CD700D46F}" name="Lens"/>
    <tableColumn id="3" xr3:uid="{9B02E5EE-6D64-4C97-ABC0-783F075701D8}" name="CU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C7F710EE-DBDD-4AE5-BBCB-A105C492C0A2}" name="Model5237383" displayName="Model5237383" ref="I80:K116" totalsRowShown="0">
  <autoFilter ref="I80:K116" xr:uid="{60489EAB-209D-464C-88CD-E719703A12B4}"/>
  <tableColumns count="3">
    <tableColumn id="1" xr3:uid="{0DC2F4AB-B678-45E9-8D94-AE6F436F86E0}" name="Model" dataDxfId="178"/>
    <tableColumn id="2" xr3:uid="{526F824F-B892-443B-AB24-B6CD0CF3517C}" name="Lumens" dataDxfId="177"/>
    <tableColumn id="3" xr3:uid="{02728F5C-9821-439D-B665-6203BF4E6F79}" name="Watts" dataDxfId="176"/>
  </tableColumns>
  <tableStyleInfo name="TableStyleMedium7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82A0722E-89AD-4904-84B7-A2C3FF56F9A4}" name="Table229247484" displayName="Table229247484" ref="N87:N92" totalsRowShown="0">
  <autoFilter ref="N87:N92" xr:uid="{524A0BC1-6214-41C4-BB55-444D7E9AAFA8}"/>
  <tableColumns count="1">
    <tableColumn id="1" xr3:uid="{59F94BB7-AE1C-444C-AB1C-B02512D58789}" name="RC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3239645F-1D8F-4AE3-84DD-FEF70D41C29C}" name="Table31015257585" displayName="Table31015257585" ref="O87:O90" totalsRowShown="0">
  <autoFilter ref="O87:O90" xr:uid="{E644E126-0CB4-4B16-A438-11D08E96B6CC}"/>
  <tableColumns count="1">
    <tableColumn id="1" xr3:uid="{8159D39F-BAE6-44C3-BC6F-05F8B6F4E059}" name="RW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9AE28ECF-3A07-42D6-8EB0-84CA86294326}" name="Table41116267686" displayName="Table41116267686" ref="P87:P88" totalsRowShown="0">
  <autoFilter ref="P87:P88" xr:uid="{C27751B9-2B6B-4AFC-8DA0-3193C288A08B}"/>
  <tableColumns count="1">
    <tableColumn id="1" xr3:uid="{C554A925-082D-4567-833E-BB92ACBE3A84}" name="RF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585371DC-11DD-458F-A5DA-1A4DAE352148}" name="Table81217140150160233" displayName="Table81217140150160233" ref="R125:U131" totalsRowShown="0">
  <autoFilter ref="R125:U131" xr:uid="{8E82A350-E297-4703-B135-7BA15B3077C0}"/>
  <tableColumns count="4">
    <tableColumn id="1" xr3:uid="{DB4B5EBA-DB4D-48F3-BE69-9135BEAE0CBF}" name="Size"/>
    <tableColumn id="4" xr3:uid="{DD7B4567-F5EC-44F8-B523-0C584BC21C16}" name="Lens"/>
    <tableColumn id="2" xr3:uid="{796495A0-1E9C-4D5A-AFD0-9D58C9FCAF15}" name="0-180"/>
    <tableColumn id="3" xr3:uid="{769C6E72-5256-46B7-9D03-94D151B15BF4}" name="90-270"/>
  </tableColumns>
  <tableStyleInfo name="TableStyleMedium3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B3C1634A-18B0-4659-946B-9FC730ED9DB6}" name="Table81217277787" displayName="Table81217277787" ref="R87:T90" totalsRowShown="0">
  <autoFilter ref="R87:T90" xr:uid="{8E82A350-E297-4703-B135-7BA15B3077C0}"/>
  <tableColumns count="3">
    <tableColumn id="1" xr3:uid="{F4E94479-D457-4AB8-999B-795EB3B8ACDB}" name="Lens"/>
    <tableColumn id="2" xr3:uid="{5104498C-79E7-4395-AA54-B3D296E0C9D2}" name="0-180"/>
    <tableColumn id="3" xr3:uid="{608F0323-B4A5-42BE-8775-A65A69FFB96E}" name="90-270"/>
  </tableColumns>
  <tableStyleInfo name="TableStyleMedium3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C1B27492-FBCF-47C2-A3A8-4B512BD8C0BF}" name="TablePBLFR7888" displayName="TablePBLFR7888" ref="Z12:AO23" totalsRowShown="0" headerRowDxfId="175" headerRowBorderDxfId="174" tableBorderDxfId="173">
  <autoFilter ref="Z12:AO23" xr:uid="{7D898CA0-2AB7-48D8-8523-94ADF7F85609}"/>
  <tableColumns count="16">
    <tableColumn id="1" xr3:uid="{35D85CEB-E5CE-4ADE-8844-237C6A1C36DF}" name="RCR"/>
    <tableColumn id="2" xr3:uid="{012E649F-1B0B-45BC-AD12-EF352ACBAAA4}" name="CU"/>
    <tableColumn id="3" xr3:uid="{B09B3C4C-84FA-4030-A558-A0B62221366D}" name="CU1"/>
    <tableColumn id="4" xr3:uid="{2F5DA265-9CB2-492A-B107-8C42BE4443CF}" name="CU2"/>
    <tableColumn id="5" xr3:uid="{B568CE9F-2D71-4FB9-9E1C-6F23F4B9CA00}" name="CU3"/>
    <tableColumn id="6" xr3:uid="{3025DAF4-3A5C-4EA4-B8FC-BEBCC3C1B19C}" name="CU4"/>
    <tableColumn id="7" xr3:uid="{6775E6C8-040D-4DB4-B278-803EC1F87694}" name="CU5"/>
    <tableColumn id="8" xr3:uid="{97F48310-FCD4-406F-B0ED-0AFBAA1CC8D1}" name="CU6"/>
    <tableColumn id="9" xr3:uid="{4EC205D0-599E-495C-A1B3-E2331CB62928}" name="CU7"/>
    <tableColumn id="10" xr3:uid="{DD324673-5593-4AB9-8434-913967D730CF}" name="CU8"/>
    <tableColumn id="11" xr3:uid="{13352FEE-977D-42BB-822F-E8956A59C02C}" name="CU9"/>
    <tableColumn id="12" xr3:uid="{8E8D55B9-54B4-4190-98AD-371C00D99977}" name="CU10"/>
    <tableColumn id="13" xr3:uid="{9C7E0713-16F2-4B24-8FFB-EE3DAC7C6F79}" name="CU11"/>
    <tableColumn id="14" xr3:uid="{8F3DD441-06B3-4D65-9B05-C3CF04C36625}" name="CU12"/>
    <tableColumn id="15" xr3:uid="{1966D3FD-0A98-4322-BA47-8BF632837602}" name="CU13"/>
    <tableColumn id="16" xr3:uid="{6C20F68D-8ED7-4F68-8F97-DE429F085076}" name="CU14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8AD24658-9844-4B06-B59C-23A375E488F7}" name="Table1319297989" displayName="Table1319297989" ref="V87:V89" totalsRowShown="0">
  <autoFilter ref="V87:V89" xr:uid="{906F8D5B-E188-4A09-8AB3-EC4630FB1196}"/>
  <tableColumns count="1">
    <tableColumn id="1" xr3:uid="{EDEB7D22-7791-47C8-AB97-6D2FD03B2C60}" name="Orientation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EB7536C2-586B-460F-929B-C1DAE543F26D}" name="Table1x4308090" displayName="Table1x4308090" ref="AQ12:BF23" totalsRowShown="0" headerRowDxfId="172" headerRowBorderDxfId="171" tableBorderDxfId="170">
  <autoFilter ref="AQ12:BF23" xr:uid="{39533706-340A-4B99-8072-6D7A862652F4}"/>
  <tableColumns count="16">
    <tableColumn id="1" xr3:uid="{1A33E2BC-E6C7-4C58-913C-6C84A6817F61}" name="RCR"/>
    <tableColumn id="2" xr3:uid="{CB034985-CC98-4B00-9221-9E2FEA4B1623}" name="CU"/>
    <tableColumn id="3" xr3:uid="{B92776DA-D68C-478B-BE25-BA5261BE64BA}" name="CU1"/>
    <tableColumn id="4" xr3:uid="{8279E5F2-A01C-4208-BAFF-17BCAE360184}" name="CU2"/>
    <tableColumn id="5" xr3:uid="{8B9EEEE1-00CE-4D1A-86FE-E9E492E933A1}" name="CU3"/>
    <tableColumn id="6" xr3:uid="{0794A6E2-A3E7-4F18-A08D-745CC0BB2BF3}" name="CU4"/>
    <tableColumn id="7" xr3:uid="{B6EEB16C-B6ED-4212-98B3-0B1C5624BB6A}" name="CU5"/>
    <tableColumn id="8" xr3:uid="{620013C6-9A2E-4CBC-96F4-E3415CB62F5E}" name="CU6"/>
    <tableColumn id="9" xr3:uid="{BB8433C2-8C4C-40D4-8CC2-6FAD64828055}" name="CU7"/>
    <tableColumn id="10" xr3:uid="{186A7DA7-BAD9-4E7B-88F5-04F8A71B3B38}" name="CU8"/>
    <tableColumn id="11" xr3:uid="{F632AE4E-A697-474D-AABE-9700F5D0912E}" name="CU9"/>
    <tableColumn id="12" xr3:uid="{0D152B51-611B-40C7-A649-4E68B55ED12A}" name="CU10"/>
    <tableColumn id="13" xr3:uid="{61C3029A-F7F2-4AAB-B919-BDC9E6366081}" name="CU11"/>
    <tableColumn id="14" xr3:uid="{2A40DC56-9DCD-4DBE-AE47-D73E92C85FAA}" name="CU12"/>
    <tableColumn id="15" xr3:uid="{7F44679C-C45B-4ABA-A0AC-535ECD556CA1}" name="CU13"/>
    <tableColumn id="16" xr3:uid="{90193747-E58A-4E9D-897F-1C2EDC30C347}" name="CU14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F8826DA1-B8A3-45BF-B437-1F238B75DA8E}" name="TablePBL7181121" displayName="TablePBL7181121" ref="I12:X23" totalsRowShown="0">
  <autoFilter ref="I12:X23" xr:uid="{3261A0F6-56CE-4121-8693-4727BC51A8EC}"/>
  <tableColumns count="16">
    <tableColumn id="1" xr3:uid="{29D227E6-68DA-420D-9139-982A4B9A6B5C}" name="RCR"/>
    <tableColumn id="2" xr3:uid="{1C7830AA-5D8B-41B3-9146-BF099BBC8628}" name="CU"/>
    <tableColumn id="3" xr3:uid="{FA337515-9E96-477C-BEF4-E67325C6FA99}" name="CU1"/>
    <tableColumn id="4" xr3:uid="{2773EDC4-C28B-4C93-8BB7-8546BC079773}" name="CU2"/>
    <tableColumn id="5" xr3:uid="{0528CC03-DD04-4AF1-9C48-4654BC92430E}" name="CU3"/>
    <tableColumn id="6" xr3:uid="{E9136B63-DCD7-49C1-A5C4-EDD71871CA96}" name="CU4"/>
    <tableColumn id="7" xr3:uid="{1884A8F6-3ACD-4488-AA51-7405BA25F0AF}" name="CU5"/>
    <tableColumn id="8" xr3:uid="{AD0C2CE9-284B-4F0D-83AD-6FFE2E6DB09C}" name="CU6"/>
    <tableColumn id="9" xr3:uid="{F479E0FC-91B1-41A8-ACDA-FDFF5CE50E81}" name="CU7"/>
    <tableColumn id="10" xr3:uid="{15A20C7B-E36C-41B3-9ED3-2209BF6DF18F}" name="CU8"/>
    <tableColumn id="11" xr3:uid="{4D8F1CEE-2FD0-4F3B-859B-963F0B3ACF57}" name="CU9"/>
    <tableColumn id="12" xr3:uid="{25FFB226-C047-4C89-A167-FC2E8DCB2B86}" name="CU10"/>
    <tableColumn id="13" xr3:uid="{FA4067C6-2F96-4440-A28F-CBD0875A072E}" name="CU11"/>
    <tableColumn id="14" xr3:uid="{7D59DBA9-5FC7-47F1-A7C5-3EA8766CFE80}" name="CU12"/>
    <tableColumn id="15" xr3:uid="{414B6ABA-F348-4D75-A708-285A85B2E6C2}" name="CU13"/>
    <tableColumn id="16" xr3:uid="{D34B3333-694C-4708-B579-2F44B11F64C4}" name="CU14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DA8012B-44FA-4BF9-8BAD-2C3D0100D164}" name="CUtable4227282122" displayName="CUtable4227282122" ref="I32:L122" totalsRowShown="0">
  <autoFilter ref="I32:L122" xr:uid="{1895C869-D44F-4135-9B0B-1FC54B546AC1}"/>
  <tableColumns count="4">
    <tableColumn id="1" xr3:uid="{90B2C9CD-5482-43E1-8DCE-A4B08913410A}" name="RC"/>
    <tableColumn id="2" xr3:uid="{8A45E269-7CFF-49E6-9767-E130813BB563}" name="RW"/>
    <tableColumn id="4" xr3:uid="{D10B2BC7-71B3-4EE0-9856-3066AAE552EE}" name="Lens"/>
    <tableColumn id="3" xr3:uid="{7E6212FD-23DB-4A08-A2E1-1A056D4217AF}" name="CU"/>
  </tableColumns>
  <tableStyleInfo name="TableStyleMedium5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7A370C9A-55EE-49C7-8E44-C44C1DAB7817}" name="Model5237383123" displayName="Model5237383123" ref="I125:K359" totalsRowShown="0">
  <autoFilter ref="I125:K359" xr:uid="{60489EAB-209D-464C-88CD-E719703A12B4}"/>
  <tableColumns count="3">
    <tableColumn id="1" xr3:uid="{10CFAE51-860C-438B-9C97-F47CDE0F2ED6}" name="Model" dataDxfId="167"/>
    <tableColumn id="2" xr3:uid="{E8FCEA72-019D-4A2C-8465-CACD3A4A68E7}" name="Lumens" dataDxfId="166"/>
    <tableColumn id="3" xr3:uid="{F6EF9911-3BFF-449F-8019-9BA55E5A8E7F}" name="Watts" dataDxfId="165"/>
  </tableColumns>
  <tableStyleInfo name="TableStyleMedium7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469DDD54-2965-4BFB-850D-5753099F4F27}" name="Table229247484124" displayName="Table229247484124" ref="N87:N92" totalsRowShown="0">
  <autoFilter ref="N87:N92" xr:uid="{524A0BC1-6214-41C4-BB55-444D7E9AAFA8}"/>
  <tableColumns count="1">
    <tableColumn id="1" xr3:uid="{0CCB0571-6B69-4AA4-A8BA-8CD5A29BF2A2}" name="RC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4AB1ED38-5DCD-47E4-9FDC-77B933C63B0F}" name="Table31015257585125" displayName="Table31015257585125" ref="O87:O90" totalsRowShown="0">
  <autoFilter ref="O87:O90" xr:uid="{E644E126-0CB4-4B16-A438-11D08E96B6CC}"/>
  <tableColumns count="1">
    <tableColumn id="1" xr3:uid="{15B2B87F-F5DC-4155-A675-11273B4A8A99}" name="RW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D7BF46EC-55CE-4A4C-9C2E-AAF18CFC16B4}" name="Table41116267686126" displayName="Table41116267686126" ref="P87:P88" totalsRowShown="0">
  <autoFilter ref="P87:P88" xr:uid="{C27751B9-2B6B-4AFC-8DA0-3193C288A08B}"/>
  <tableColumns count="1">
    <tableColumn id="1" xr3:uid="{C8292A1D-4341-4B68-9DE8-0BC76E5ECB9D}" name="RF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A6F5EC3C-C741-4C55-BC31-A0E2A29F2153}" name="Table2x2141151161234" displayName="Table2x2141151161234" ref="Z12:AO23" totalsRowShown="0" headerRowDxfId="241" headerRowBorderDxfId="240" tableBorderDxfId="239">
  <autoFilter ref="Z12:AO23" xr:uid="{7D898CA0-2AB7-48D8-8523-94ADF7F85609}"/>
  <tableColumns count="16">
    <tableColumn id="1" xr3:uid="{0F71BB8C-F65B-4457-BFE1-DB76F129121D}" name="RCR"/>
    <tableColumn id="2" xr3:uid="{94F4101E-8693-442C-BCFF-E5749133E3EE}" name="CU"/>
    <tableColumn id="3" xr3:uid="{00421B26-FFBB-4F0D-A6FA-6613AE430428}" name="CU1"/>
    <tableColumn id="4" xr3:uid="{07311443-4C3F-4D4C-A162-A50459744872}" name="CU2"/>
    <tableColumn id="5" xr3:uid="{F0A72A78-C9AA-4A4C-A562-3BE712EF590E}" name="CU3"/>
    <tableColumn id="6" xr3:uid="{BD347E76-7107-46B3-A787-0FED058774BB}" name="CU4"/>
    <tableColumn id="7" xr3:uid="{92CD34AB-F49C-4422-9244-293EFF998318}" name="CU5"/>
    <tableColumn id="8" xr3:uid="{22943478-627A-4DE1-AD5C-16449A883A29}" name="CU6"/>
    <tableColumn id="9" xr3:uid="{4F2E86C6-4595-44B4-B60D-24E513E4F548}" name="CU7"/>
    <tableColumn id="10" xr3:uid="{5CB6D981-0934-4953-A805-7D6D08C27DDA}" name="CU8"/>
    <tableColumn id="11" xr3:uid="{EE34FEA8-C98E-4DFB-9AFE-188F1F8895B2}" name="CU9"/>
    <tableColumn id="12" xr3:uid="{75E9CDF6-B298-461E-8E55-006BB3823BFD}" name="CU10"/>
    <tableColumn id="13" xr3:uid="{8C26B153-5A1C-4C30-A666-E1DFC1CA316D}" name="CU11"/>
    <tableColumn id="14" xr3:uid="{DF23CD63-D95D-4F52-85D1-BBB1CB1490CF}" name="CU12"/>
    <tableColumn id="15" xr3:uid="{D2DD0862-5E7E-476A-8694-186BC140C89C}" name="CU13"/>
    <tableColumn id="16" xr3:uid="{9C7D8E86-12C3-4EC4-9CC8-F698164CFD64}" name="CU14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DC273379-B8BA-4E77-A680-97E6A7C59239}" name="Table81217277787127" displayName="Table81217277787127" ref="R87:T93" totalsRowShown="0">
  <autoFilter ref="R87:T93" xr:uid="{8E82A350-E297-4703-B135-7BA15B3077C0}"/>
  <tableColumns count="3">
    <tableColumn id="1" xr3:uid="{BE77146B-468D-46AD-88FD-F5AA895D7F6D}" name="Lens"/>
    <tableColumn id="2" xr3:uid="{49084A1B-216E-4332-860B-915666B08A6E}" name="0-180"/>
    <tableColumn id="3" xr3:uid="{225F0E1F-01E3-41CC-9BB1-DF7BBFCF73E4}" name="90-270"/>
  </tableColumns>
  <tableStyleInfo name="TableStyleMedium3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E01101C3-1F6A-4FC9-B877-B15FFEF22E5F}" name="TablePBLFR7888128" displayName="TablePBLFR7888128" ref="Z12:AO23" totalsRowShown="0" headerRowDxfId="164" headerRowBorderDxfId="163" tableBorderDxfId="162">
  <autoFilter ref="Z12:AO23" xr:uid="{7D898CA0-2AB7-48D8-8523-94ADF7F85609}"/>
  <tableColumns count="16">
    <tableColumn id="1" xr3:uid="{ED727EAB-ABCD-429A-AC6F-12891EE8426E}" name="RCR"/>
    <tableColumn id="2" xr3:uid="{879BD1F7-2C0D-4DA3-B59A-F186532B5719}" name="CU"/>
    <tableColumn id="3" xr3:uid="{EE30164A-CF0D-4164-88D5-43EEEF1F9EA2}" name="CU1"/>
    <tableColumn id="4" xr3:uid="{6116924D-0484-4ADB-9442-3F568002C334}" name="CU2"/>
    <tableColumn id="5" xr3:uid="{2AC9F57B-0C26-40AD-AEE5-C72534EF068E}" name="CU3"/>
    <tableColumn id="6" xr3:uid="{F11DBDD7-0138-4EEA-941C-583C38B04ED8}" name="CU4"/>
    <tableColumn id="7" xr3:uid="{6C08E4D2-1ED4-4A4E-B519-C456744257BE}" name="CU5"/>
    <tableColumn id="8" xr3:uid="{984005FC-4A3B-4656-8207-F149153C5E2A}" name="CU6"/>
    <tableColumn id="9" xr3:uid="{16CB1F81-1231-4C25-97A2-34EEC8EDFD74}" name="CU7"/>
    <tableColumn id="10" xr3:uid="{D7590DE9-15CC-4C47-A571-0FF9C4D4004C}" name="CU8"/>
    <tableColumn id="11" xr3:uid="{EEF508EC-EBDE-4504-89A7-061F8AFE677D}" name="CU9"/>
    <tableColumn id="12" xr3:uid="{A652C005-9FE9-4A3A-A8F8-309842FAD25F}" name="CU10"/>
    <tableColumn id="13" xr3:uid="{D1E5DDE0-A0F7-406C-81FF-191DACFB808C}" name="CU11"/>
    <tableColumn id="14" xr3:uid="{5528D5D5-1691-4071-AC71-5E3008E7D8E1}" name="CU12"/>
    <tableColumn id="15" xr3:uid="{FFF76D1C-C02D-42B9-B34F-76C957567301}" name="CU13"/>
    <tableColumn id="16" xr3:uid="{470A3541-F3A5-4A2D-BA67-42B2F73AC429}" name="CU14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B688007B-54EB-42A7-87B5-C329F5074109}" name="Table1319297989129" displayName="Table1319297989129" ref="V87:V89" totalsRowShown="0">
  <autoFilter ref="V87:V89" xr:uid="{906F8D5B-E188-4A09-8AB3-EC4630FB1196}"/>
  <tableColumns count="1">
    <tableColumn id="1" xr3:uid="{164E3D2C-6068-4919-9941-F9A8C5013626}" name="Orientation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50A04DE9-5F20-4BCF-A7EB-25AEB3EDEB6C}" name="Table1x4308090130" displayName="Table1x4308090130" ref="AQ12:BF23" totalsRowShown="0" headerRowDxfId="161" headerRowBorderDxfId="160" tableBorderDxfId="159">
  <autoFilter ref="AQ12:BF23" xr:uid="{39533706-340A-4B99-8072-6D7A862652F4}"/>
  <tableColumns count="16">
    <tableColumn id="1" xr3:uid="{418DB1D5-B3A4-436B-B17D-9B9968DBAD1E}" name="RCR"/>
    <tableColumn id="2" xr3:uid="{01B5D602-86A4-4DFB-897C-06FAC76E8A00}" name="CU"/>
    <tableColumn id="3" xr3:uid="{57578202-5885-4EAF-BEEC-4F2DFB44531C}" name="CU1"/>
    <tableColumn id="4" xr3:uid="{C0E8CC85-7667-4DEB-9201-E9BD79BEFC39}" name="CU2"/>
    <tableColumn id="5" xr3:uid="{DF0DE724-E332-4251-AE99-E597C30A8EC7}" name="CU3"/>
    <tableColumn id="6" xr3:uid="{B2D60657-F64B-45AE-87F0-96CE24767275}" name="CU4"/>
    <tableColumn id="7" xr3:uid="{8A2F0A33-73F5-4AA0-90C5-2578AE5B7691}" name="CU5"/>
    <tableColumn id="8" xr3:uid="{F05FE076-AC89-4100-B4E7-51DDAB0C2B57}" name="CU6"/>
    <tableColumn id="9" xr3:uid="{608D91B0-D6AC-4292-83E3-783EB2F15112}" name="CU7"/>
    <tableColumn id="10" xr3:uid="{AC26618C-913F-4C5B-A37E-A55094A8502F}" name="CU8"/>
    <tableColumn id="11" xr3:uid="{DEF2B313-0676-4B36-9CCD-AFB64EADDF41}" name="CU9"/>
    <tableColumn id="12" xr3:uid="{224FD719-1DC7-4467-A4EA-7C94A8C9E641}" name="CU10"/>
    <tableColumn id="13" xr3:uid="{EDC348AA-4A09-4432-B93B-1F6D58507C57}" name="CU11"/>
    <tableColumn id="14" xr3:uid="{1215B506-42BB-43A5-9C81-A7E23378BFD9}" name="CU12"/>
    <tableColumn id="15" xr3:uid="{19946CAC-07B3-4F9C-832D-ACDC4EA3391B}" name="CU13"/>
    <tableColumn id="16" xr3:uid="{B35151E4-BF5D-4EFF-A104-B481B0678876}" name="CU14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CF5071A5-2D22-4B1A-84C8-193D3A1EE04E}" name="TablePBL7181121131" displayName="TablePBL7181121131" ref="BH12:BW23" totalsRowShown="0">
  <autoFilter ref="BH12:BW23" xr:uid="{51B9FD36-186B-476B-AEB7-4368B5711E33}"/>
  <tableColumns count="16">
    <tableColumn id="1" xr3:uid="{856C036D-0419-4C4A-B62E-439A716602EE}" name="RCR"/>
    <tableColumn id="2" xr3:uid="{92253975-2DFE-4E33-9637-E5F3CCC1965C}" name="CU"/>
    <tableColumn id="3" xr3:uid="{9A6661D4-9347-42EE-AB70-AB21644BA094}" name="CU1"/>
    <tableColumn id="4" xr3:uid="{EADA3AB5-2564-45D3-8079-E4AAB1DB9A39}" name="CU2"/>
    <tableColumn id="5" xr3:uid="{88E538E9-A48C-452F-8F14-90829F6F788D}" name="CU3"/>
    <tableColumn id="6" xr3:uid="{05008B82-FD1E-4118-9F6D-39B56620FD7C}" name="CU4"/>
    <tableColumn id="7" xr3:uid="{003D8844-7F6F-499E-B3D2-6C15C38C9486}" name="CU5"/>
    <tableColumn id="8" xr3:uid="{B6EAE4D9-28A5-4C45-99AA-FEB4B908815E}" name="CU6"/>
    <tableColumn id="9" xr3:uid="{BA779225-8181-4BE2-8D3E-D875137CB370}" name="CU7"/>
    <tableColumn id="10" xr3:uid="{05B18B39-DD8C-4529-9A79-EBA3D73FA1C0}" name="CU8"/>
    <tableColumn id="11" xr3:uid="{9BFB4571-6A84-4888-BCF3-01E2A629CB6A}" name="CU9"/>
    <tableColumn id="12" xr3:uid="{59DEC907-23FE-4573-ADC0-E4472B0039C0}" name="CU10"/>
    <tableColumn id="13" xr3:uid="{4FBE2677-B803-43D6-AD7B-3D090AD39642}" name="CU11"/>
    <tableColumn id="14" xr3:uid="{4C0B41C3-E44D-4C22-AD64-CBA240F756FA}" name="CU12"/>
    <tableColumn id="15" xr3:uid="{3E58FC1A-724E-4200-B487-35CA2A06D4F1}" name="CU13"/>
    <tableColumn id="16" xr3:uid="{F226CBDB-69A3-4B69-951A-A68E73DBD522}" name="CU14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2B60E777-A881-41D9-BDC6-112D22B84512}" name="TablePBLFR7888128132" displayName="TablePBLFR7888128132" ref="BY12:CN23" totalsRowShown="0" headerRowDxfId="158" headerRowBorderDxfId="157" tableBorderDxfId="156">
  <autoFilter ref="BY12:CN23" xr:uid="{545A68FC-9D33-48D1-991C-A3495D38AD61}"/>
  <tableColumns count="16">
    <tableColumn id="1" xr3:uid="{2F5B0DE0-00FC-45FB-A504-CD72A5EC5AFB}" name="RCR"/>
    <tableColumn id="2" xr3:uid="{0ED8E452-84FD-42F1-9EE1-683885D3489F}" name="CU"/>
    <tableColumn id="3" xr3:uid="{9E6E1094-7D50-4F47-858B-837FA5A20DDA}" name="CU1"/>
    <tableColumn id="4" xr3:uid="{F8B87276-B333-4D3E-AFA1-93BFE9C11D52}" name="CU2"/>
    <tableColumn id="5" xr3:uid="{4D68B69E-8BB9-4719-983C-653EEEAB6B7E}" name="CU3"/>
    <tableColumn id="6" xr3:uid="{5FE4651E-DCAB-4C95-84F4-5D91C5492666}" name="CU4"/>
    <tableColumn id="7" xr3:uid="{DA0A66EB-8DD6-4965-88B9-D09AD19852D0}" name="CU5"/>
    <tableColumn id="8" xr3:uid="{7AED2F78-D085-4112-A42D-ED2CFF83586A}" name="CU6"/>
    <tableColumn id="9" xr3:uid="{8F7C08F8-08B7-4D69-BF34-3ED599563E6F}" name="CU7"/>
    <tableColumn id="10" xr3:uid="{633A7D78-767A-43F9-8BB5-D714DC441F9D}" name="CU8"/>
    <tableColumn id="11" xr3:uid="{566D96A0-F83D-4994-BEFD-5950DDE1F4AA}" name="CU9"/>
    <tableColumn id="12" xr3:uid="{2FA08996-D2F7-4009-B207-06D166A3E7AB}" name="CU10"/>
    <tableColumn id="13" xr3:uid="{B1644BC1-239C-4374-BF43-B1BD12C04C4F}" name="CU11"/>
    <tableColumn id="14" xr3:uid="{6148BA8D-067E-4C0F-A548-5E48EE3471B9}" name="CU12"/>
    <tableColumn id="15" xr3:uid="{CA8C39D8-6DC4-4E27-91A2-943C9ECA2B15}" name="CU13"/>
    <tableColumn id="16" xr3:uid="{B8B70583-E241-451A-8255-D02B39253F46}" name="CU14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412F4759-48C9-49D3-9505-7704C64BD0A5}" name="Table1x4308090130133" displayName="Table1x4308090130133" ref="CP12:DE23" totalsRowShown="0" headerRowDxfId="155" headerRowBorderDxfId="154" tableBorderDxfId="153">
  <autoFilter ref="CP12:DE23" xr:uid="{892A6CA8-FAF0-43C5-BC13-43E1EC88CDE2}"/>
  <tableColumns count="16">
    <tableColumn id="1" xr3:uid="{EC9C8BCA-8C4C-4EC5-8D43-013E3577B326}" name="RCR"/>
    <tableColumn id="2" xr3:uid="{B3F7CD9F-93F7-4616-BC66-BE9C2D69BABC}" name="CU"/>
    <tableColumn id="3" xr3:uid="{C0783BF5-55E6-420C-8D5B-FCC837228F45}" name="CU1"/>
    <tableColumn id="4" xr3:uid="{3854D3B2-2358-47BF-BC83-774A6B876802}" name="CU2"/>
    <tableColumn id="5" xr3:uid="{2CA75C92-5808-4EDC-805E-5229D6C2812E}" name="CU3"/>
    <tableColumn id="6" xr3:uid="{7D67F5A0-FE43-431B-88F3-612C90952A51}" name="CU4"/>
    <tableColumn id="7" xr3:uid="{E4960C35-9F80-4FD4-8B1B-8B7AABBC0993}" name="CU5"/>
    <tableColumn id="8" xr3:uid="{DA365B83-0B33-4E22-9C7A-44194C94BC8C}" name="CU6"/>
    <tableColumn id="9" xr3:uid="{988A9482-CE1C-41DD-AEC6-394939E36B7A}" name="CU7"/>
    <tableColumn id="10" xr3:uid="{83D0620A-E4CD-43C3-BB93-76B7A444FC0B}" name="CU8"/>
    <tableColumn id="11" xr3:uid="{D6C75907-9FBC-4D18-8F7E-153A71E61036}" name="CU9"/>
    <tableColumn id="12" xr3:uid="{D1069988-2561-4E57-AD9D-96EA26C7ADE1}" name="CU10"/>
    <tableColumn id="13" xr3:uid="{E94F1631-E20D-461F-8CEB-19E6EBA5804C}" name="CU11"/>
    <tableColumn id="14" xr3:uid="{BD90D94D-3CE8-4ADD-92D6-01C97F702E24}" name="CU12"/>
    <tableColumn id="15" xr3:uid="{C913D8ED-57FD-4FC6-83BE-EBD22257EC2F}" name="CU13"/>
    <tableColumn id="16" xr3:uid="{DDF20D16-1174-4FC9-9A11-EA16CF1738C1}" name="CU14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AE4235-156E-4D6E-A62B-C80AB80EEA2B}" name="Table2x4" displayName="Table2x4" ref="I12:X23" totalsRowShown="0">
  <autoFilter ref="I12:X23" xr:uid="{3261A0F6-56CE-4121-8693-4727BC51A8EC}"/>
  <tableColumns count="16">
    <tableColumn id="1" xr3:uid="{350FFD09-8ACE-4D0A-B3A7-9E3DFCD75EC3}" name="RCR"/>
    <tableColumn id="2" xr3:uid="{92CC7DA8-5699-4654-9C0D-15F2CC7B9A3F}" name="CU"/>
    <tableColumn id="3" xr3:uid="{5BEAD06E-08CC-41BD-9DCF-62753B8D8B70}" name="CU1"/>
    <tableColumn id="4" xr3:uid="{51504FF5-32CB-4B0C-B8DE-47D1747B7942}" name="CU2"/>
    <tableColumn id="5" xr3:uid="{DDF0689D-BAF7-4E10-B98E-E53FACD7022F}" name="CU3"/>
    <tableColumn id="6" xr3:uid="{30CD97EE-4937-4937-8165-B5B81E9A74F5}" name="CU4"/>
    <tableColumn id="7" xr3:uid="{1DF3996E-E37D-4A05-8EF5-B41E96EC6865}" name="CU5"/>
    <tableColumn id="8" xr3:uid="{9C13A20B-7BE2-4B34-86B0-C34A81AA024D}" name="CU6"/>
    <tableColumn id="9" xr3:uid="{C7FE4AA4-B7F2-440A-A8AD-5EF89DF9E041}" name="CU7"/>
    <tableColumn id="10" xr3:uid="{6B713E14-505E-4F18-BCB6-83DD6FAFE9B8}" name="CU8"/>
    <tableColumn id="11" xr3:uid="{0BAE6AB9-1266-41E2-83FC-CC0CCFB0E516}" name="CU9"/>
    <tableColumn id="12" xr3:uid="{11979D8B-E767-4896-98B4-1E284CAF4335}" name="CU10"/>
    <tableColumn id="13" xr3:uid="{861FD199-A1BA-4D63-97C9-1ADC90508DB2}" name="CU11"/>
    <tableColumn id="14" xr3:uid="{97E457D0-8D13-4EC4-8BA2-665682758FD4}" name="CU12"/>
    <tableColumn id="15" xr3:uid="{7DECC552-D5F9-45A6-9969-0695EDF0FCC6}" name="CU13"/>
    <tableColumn id="16" xr3:uid="{8A0A37F6-CCDA-4D07-B30C-6AA29D3B982A}" name="CU14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BB6CBFD-8989-4C28-AF4E-97108D4BDFD2}" name="CUtable4" displayName="CUtable4" ref="I32:L77" totalsRowShown="0">
  <autoFilter ref="I32:L77" xr:uid="{1895C869-D44F-4135-9B0B-1FC54B546AC1}"/>
  <tableColumns count="4">
    <tableColumn id="1" xr3:uid="{05A17D8C-FF2F-427F-8AA5-BB5AD7D9BB58}" name="RC"/>
    <tableColumn id="2" xr3:uid="{322803C6-8467-4C22-821C-155502EF1A8A}" name="RW"/>
    <tableColumn id="4" xr3:uid="{A5DEE5B5-A637-4CCE-BEBE-D463F1FA591C}" name="Size"/>
    <tableColumn id="3" xr3:uid="{AB2E3B97-2C45-40BF-9BC7-4DA179194805}" name="CU"/>
  </tableColumns>
  <tableStyleInfo name="TableStyleMedium5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0C7175C-9651-40C9-86F9-010925110C40}" name="Model5" displayName="Model5" ref="I80:K152" totalsRowShown="0" dataDxfId="150">
  <autoFilter ref="I80:K152" xr:uid="{60489EAB-209D-464C-88CD-E719703A12B4}"/>
  <tableColumns count="3">
    <tableColumn id="1" xr3:uid="{C4285F83-DE45-4DBF-A7CE-19F7B8BA9E0B}" name="Model" dataDxfId="149"/>
    <tableColumn id="2" xr3:uid="{29E3C33C-FD97-42B4-8459-A083BD3522B0}" name="Lumens" dataDxfId="148"/>
    <tableColumn id="3" xr3:uid="{A334E5FE-1E28-4F9D-8E18-258D8E9FC404}" name="Watts" dataDxfId="147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3319FC8E-8870-43C9-9266-D7DC25673AF6}" name="Table1319142152162235" displayName="Table1319142152162235" ref="W125:W127" totalsRowShown="0">
  <autoFilter ref="W125:W127" xr:uid="{906F8D5B-E188-4A09-8AB3-EC4630FB1196}"/>
  <tableColumns count="1">
    <tableColumn id="1" xr3:uid="{39ACBC25-C829-4A11-9A78-5DCF4033C7D5}" name="Orientation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4F4E7A6-7647-4AAD-9AED-7D53A9113F4C}" name="Table229" displayName="Table229" ref="N87:N92" totalsRowShown="0">
  <autoFilter ref="N87:N92" xr:uid="{524A0BC1-6214-41C4-BB55-444D7E9AAFA8}"/>
  <tableColumns count="1">
    <tableColumn id="1" xr3:uid="{6FE17852-95E7-40CA-8A0D-E67539229A48}" name="RC"/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817E270-B51B-4FB3-9369-4D27D11EF330}" name="Table31015" displayName="Table31015" ref="O87:O90" totalsRowShown="0">
  <autoFilter ref="O87:O90" xr:uid="{E644E126-0CB4-4B16-A438-11D08E96B6CC}"/>
  <tableColumns count="1">
    <tableColumn id="1" xr3:uid="{EA378CB4-2A13-4B30-B6C1-9493F83D72AB}" name="RW"/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3C39B5E-A7F8-4645-8877-D72293923006}" name="Table41116" displayName="Table41116" ref="P87:P88" totalsRowShown="0">
  <autoFilter ref="P87:P88" xr:uid="{C27751B9-2B6B-4AFC-8DA0-3193C288A08B}"/>
  <tableColumns count="1">
    <tableColumn id="1" xr3:uid="{6DE60876-6718-46D6-9186-A79A0C8FA2DE}" name="RF"/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36991ED-BAA8-4CEE-A0B2-ADB0FCD6A3FC}" name="Table81217" displayName="Table81217" ref="R87:T90" totalsRowShown="0">
  <autoFilter ref="R87:T90" xr:uid="{8E82A350-E297-4703-B135-7BA15B3077C0}"/>
  <tableColumns count="3">
    <tableColumn id="1" xr3:uid="{E61C7525-D108-4DEC-A46C-53C37C50F03C}" name="Size"/>
    <tableColumn id="2" xr3:uid="{9F149DC2-12C5-4A9F-8CD2-D4F025AEF54C}" name="0-180"/>
    <tableColumn id="3" xr3:uid="{CC990A69-F85F-4C38-9602-4A7793993507}" name="90-270"/>
  </tableColumns>
  <tableStyleInfo name="TableStyleMedium3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DA30C85-F73D-4B39-9337-C7A54A95C08C}" name="Table2x2" displayName="Table2x2" ref="Z12:AO23" totalsRowShown="0" headerRowDxfId="146" headerRowBorderDxfId="145" tableBorderDxfId="144">
  <autoFilter ref="Z12:AO23" xr:uid="{7D898CA0-2AB7-48D8-8523-94ADF7F85609}"/>
  <tableColumns count="16">
    <tableColumn id="1" xr3:uid="{B8D26C61-0161-4A21-A476-2BA5360A59BE}" name="RCR"/>
    <tableColumn id="2" xr3:uid="{87689DC7-F7BB-4D75-848F-70872E845CD8}" name="CU"/>
    <tableColumn id="3" xr3:uid="{774C68B7-8A18-4A5B-A1F7-21D1BB88046B}" name="CU1"/>
    <tableColumn id="4" xr3:uid="{09823548-9414-4155-98AE-FFFDEC3F85C6}" name="CU2"/>
    <tableColumn id="5" xr3:uid="{270D7C45-0080-463E-966A-BB4342F4BF36}" name="CU3"/>
    <tableColumn id="6" xr3:uid="{DC60230B-3821-4221-8A15-C2F9D936892F}" name="CU4"/>
    <tableColumn id="7" xr3:uid="{5F9A3072-5154-4DFA-BDD9-59C724958B25}" name="CU5"/>
    <tableColumn id="8" xr3:uid="{4AA45057-3092-4CCE-A4B8-93E566683E73}" name="CU6"/>
    <tableColumn id="9" xr3:uid="{C4103308-B56A-408D-BA7A-339F7BABB0AF}" name="CU7"/>
    <tableColumn id="10" xr3:uid="{BF59B297-3A6F-41C0-8025-C69A7E141706}" name="CU8"/>
    <tableColumn id="11" xr3:uid="{0D22BF62-B51E-4980-AE08-9528CFF6EB71}" name="CU9"/>
    <tableColumn id="12" xr3:uid="{F6B6B396-E958-4DEB-A403-6668ECAD5765}" name="CU10"/>
    <tableColumn id="13" xr3:uid="{0727E798-C095-41E7-9451-2A2FD17C45BE}" name="CU11"/>
    <tableColumn id="14" xr3:uid="{346BF378-1403-4B0C-9FAC-85B7B4CE44EF}" name="CU12"/>
    <tableColumn id="15" xr3:uid="{EED1E4B0-C117-4923-94B5-F9CB01BE1F39}" name="CU13"/>
    <tableColumn id="16" xr3:uid="{32141D63-6466-4D25-8BEA-E71C20ECBD8E}" name="CU14"/>
  </tableColumns>
  <tableStyleInfo name="TableStyleMedium2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EBCC04D-7A94-42D6-A350-B469DE149765}" name="Table1319" displayName="Table1319" ref="V87:V89" totalsRowShown="0">
  <autoFilter ref="V87:V89" xr:uid="{906F8D5B-E188-4A09-8AB3-EC4630FB1196}"/>
  <tableColumns count="1">
    <tableColumn id="1" xr3:uid="{FF1FC6AF-5D8D-493C-BDD4-68871EB27CFB}" name="Orientation"/>
  </tableColumns>
  <tableStyleInfo name="TableStyleMedium2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74939B9-AA81-4FC0-938F-724ACE42130B}" name="Table1x4" displayName="Table1x4" ref="AQ12:BF23" totalsRowShown="0" headerRowDxfId="143" headerRowBorderDxfId="142" tableBorderDxfId="141">
  <autoFilter ref="AQ12:BF23" xr:uid="{39533706-340A-4B99-8072-6D7A862652F4}"/>
  <tableColumns count="16">
    <tableColumn id="1" xr3:uid="{13726FB7-CF48-4DAD-AD3F-5E629F578AAB}" name="RCR"/>
    <tableColumn id="2" xr3:uid="{7B89DBF1-1441-4C76-88E9-770CBFB7759E}" name="CU"/>
    <tableColumn id="3" xr3:uid="{918ABBFF-903B-404C-8FCF-8E514D6B4818}" name="CU1"/>
    <tableColumn id="4" xr3:uid="{CBEF8FB6-7D0F-4D5A-A542-02FA1200A72F}" name="CU2"/>
    <tableColumn id="5" xr3:uid="{62AE3615-0386-4F71-B71B-6A59B8F7B4AD}" name="CU3"/>
    <tableColumn id="6" xr3:uid="{B83926F1-1884-41AE-95F8-FC80FBF7E7E8}" name="CU4"/>
    <tableColumn id="7" xr3:uid="{7967E3EA-2EB7-4D44-B3A5-A376713F1A9E}" name="CU5"/>
    <tableColumn id="8" xr3:uid="{E1535F97-7068-4D5F-9DF5-3A0EA1719E4B}" name="CU6"/>
    <tableColumn id="9" xr3:uid="{BE902749-AC66-47E4-B6DC-62D9097786C9}" name="CU7"/>
    <tableColumn id="10" xr3:uid="{086E40D8-CF2B-445D-89A6-2EFE1DCE8A38}" name="CU8"/>
    <tableColumn id="11" xr3:uid="{851687A2-E0D4-4A48-9D5B-F825C036F56D}" name="CU9"/>
    <tableColumn id="12" xr3:uid="{C9CC4B1A-90EC-4A5D-B5DE-3877FFA4BC0C}" name="CU10"/>
    <tableColumn id="13" xr3:uid="{46884DC6-E0B1-4A60-9CEA-6D181A66C8A4}" name="CU11"/>
    <tableColumn id="14" xr3:uid="{AABE88FA-DB29-456C-9AE3-F3B316B8157A}" name="CU12"/>
    <tableColumn id="15" xr3:uid="{D1AA86B8-0544-46A9-8F8B-8DF652361DA1}" name="CU13"/>
    <tableColumn id="16" xr3:uid="{01A08816-A8DF-4779-B236-19C9EB22DBC5}" name="CU14"/>
  </tableColumns>
  <tableStyleInfo name="TableStyleMedium2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B0309DC0-138C-492A-87B6-B5104A4C3199}" name="Table2x4134" displayName="Table2x4134" ref="I12:X23" totalsRowShown="0">
  <autoFilter ref="I12:X23" xr:uid="{3261A0F6-56CE-4121-8693-4727BC51A8EC}"/>
  <tableColumns count="16">
    <tableColumn id="1" xr3:uid="{A0773315-7455-4C17-B282-E148365B5386}" name="RCR"/>
    <tableColumn id="2" xr3:uid="{0D6A7341-ED81-49F2-B75B-D1432D080ABB}" name="CU"/>
    <tableColumn id="3" xr3:uid="{736950F7-BBEC-4907-BD5C-0EE08882EBD4}" name="CU1"/>
    <tableColumn id="4" xr3:uid="{3A752701-4849-46CB-9483-FB2E6960FC96}" name="CU2"/>
    <tableColumn id="5" xr3:uid="{22ACF32B-3B22-4420-89B0-F2D91588A58C}" name="CU3"/>
    <tableColumn id="6" xr3:uid="{882EF16A-B9AB-4B18-BC51-6A9A36255356}" name="CU4"/>
    <tableColumn id="7" xr3:uid="{D27BB536-A002-497B-94A1-A6F9682EBBEB}" name="CU5"/>
    <tableColumn id="8" xr3:uid="{995AA1D9-EF7B-4CF1-B81C-09C62E898924}" name="CU6"/>
    <tableColumn id="9" xr3:uid="{D33F95F1-A019-45F5-98D3-A7B9BEBA67B1}" name="CU7"/>
    <tableColumn id="10" xr3:uid="{2BFF7E01-18FA-43BC-81EB-BD377360F223}" name="CU8"/>
    <tableColumn id="11" xr3:uid="{91E6B3DD-1C22-4A53-9BC9-3497D6D3736B}" name="CU9"/>
    <tableColumn id="12" xr3:uid="{627036C6-7AF2-44A2-A6F7-BD7BF217E23B}" name="CU10"/>
    <tableColumn id="13" xr3:uid="{60F86549-A0E2-4CE1-9247-682CBBDFB593}" name="CU11"/>
    <tableColumn id="14" xr3:uid="{B8DA2E21-71DE-4249-A63E-EF39D1AD255F}" name="CU12"/>
    <tableColumn id="15" xr3:uid="{773472F1-4DD4-4CFE-883F-1C6A5FC5EE91}" name="CU13"/>
    <tableColumn id="16" xr3:uid="{990EE5D8-A208-405D-A250-A0725BAACBF5}" name="CU14"/>
  </tableColumns>
  <tableStyleInfo name="TableStyleMedium2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D8333203-DF51-46F1-9DFE-4EE404AD97B8}" name="CUtable4135" displayName="CUtable4135" ref="I32:L77" totalsRowShown="0">
  <autoFilter ref="I32:L77" xr:uid="{1895C869-D44F-4135-9B0B-1FC54B546AC1}"/>
  <tableColumns count="4">
    <tableColumn id="1" xr3:uid="{EF743473-A646-4B52-91A1-E14F56456D26}" name="RC"/>
    <tableColumn id="2" xr3:uid="{33AC727F-0E40-45D7-A0E5-D03B1A9E91E9}" name="RW"/>
    <tableColumn id="4" xr3:uid="{7E1D5338-F5DC-4B23-A0D8-9648DB7FFEBA}" name="Size"/>
    <tableColumn id="3" xr3:uid="{CEC73A25-A987-4AD5-8A7B-2BD8F5586B63}" name="CU"/>
  </tableColumns>
  <tableStyleInfo name="TableStyleMedium5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59B308D1-2BF1-4B12-90D2-85DC71B36EEC}" name="Model5136" displayName="Model5136" ref="I80:K132" totalsRowShown="0" dataDxfId="138">
  <autoFilter ref="I80:K132" xr:uid="{60489EAB-209D-464C-88CD-E719703A12B4}"/>
  <tableColumns count="3">
    <tableColumn id="1" xr3:uid="{B1611B58-3553-43FB-B0FA-4668F13027DA}" name="Model" dataDxfId="137"/>
    <tableColumn id="2" xr3:uid="{F0C25C8E-8CDA-49F6-9888-88E58FE574B7}" name="Lumens" dataDxfId="136"/>
    <tableColumn id="3" xr3:uid="{7F0C4B98-4E45-4B44-B2D5-B5D1CAEFCA4B}" name="Watts" dataDxfId="13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2.xml"/><Relationship Id="rId3" Type="http://schemas.openxmlformats.org/officeDocument/2006/relationships/table" Target="../tables/table97.xml"/><Relationship Id="rId7" Type="http://schemas.openxmlformats.org/officeDocument/2006/relationships/table" Target="../tables/table101.xml"/><Relationship Id="rId12" Type="http://schemas.openxmlformats.org/officeDocument/2006/relationships/table" Target="../tables/table10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00.xml"/><Relationship Id="rId11" Type="http://schemas.openxmlformats.org/officeDocument/2006/relationships/table" Target="../tables/table105.xml"/><Relationship Id="rId5" Type="http://schemas.openxmlformats.org/officeDocument/2006/relationships/table" Target="../tables/table99.xml"/><Relationship Id="rId10" Type="http://schemas.openxmlformats.org/officeDocument/2006/relationships/table" Target="../tables/table104.xml"/><Relationship Id="rId4" Type="http://schemas.openxmlformats.org/officeDocument/2006/relationships/table" Target="../tables/table98.xml"/><Relationship Id="rId9" Type="http://schemas.openxmlformats.org/officeDocument/2006/relationships/table" Target="../tables/table10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2.xml"/><Relationship Id="rId3" Type="http://schemas.openxmlformats.org/officeDocument/2006/relationships/table" Target="../tables/table107.xml"/><Relationship Id="rId7" Type="http://schemas.openxmlformats.org/officeDocument/2006/relationships/table" Target="../tables/table111.xml"/><Relationship Id="rId12" Type="http://schemas.openxmlformats.org/officeDocument/2006/relationships/table" Target="../tables/table11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110.xml"/><Relationship Id="rId11" Type="http://schemas.openxmlformats.org/officeDocument/2006/relationships/table" Target="../tables/table115.xml"/><Relationship Id="rId5" Type="http://schemas.openxmlformats.org/officeDocument/2006/relationships/table" Target="../tables/table109.xml"/><Relationship Id="rId10" Type="http://schemas.openxmlformats.org/officeDocument/2006/relationships/table" Target="../tables/table114.xml"/><Relationship Id="rId4" Type="http://schemas.openxmlformats.org/officeDocument/2006/relationships/table" Target="../tables/table108.xml"/><Relationship Id="rId9" Type="http://schemas.openxmlformats.org/officeDocument/2006/relationships/table" Target="../tables/table113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2.xml"/><Relationship Id="rId3" Type="http://schemas.openxmlformats.org/officeDocument/2006/relationships/table" Target="../tables/table117.xml"/><Relationship Id="rId7" Type="http://schemas.openxmlformats.org/officeDocument/2006/relationships/table" Target="../tables/table121.xml"/><Relationship Id="rId12" Type="http://schemas.openxmlformats.org/officeDocument/2006/relationships/table" Target="../tables/table12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120.xml"/><Relationship Id="rId11" Type="http://schemas.openxmlformats.org/officeDocument/2006/relationships/table" Target="../tables/table125.xml"/><Relationship Id="rId5" Type="http://schemas.openxmlformats.org/officeDocument/2006/relationships/table" Target="../tables/table119.xml"/><Relationship Id="rId10" Type="http://schemas.openxmlformats.org/officeDocument/2006/relationships/table" Target="../tables/table124.xml"/><Relationship Id="rId4" Type="http://schemas.openxmlformats.org/officeDocument/2006/relationships/table" Target="../tables/table118.xml"/><Relationship Id="rId9" Type="http://schemas.openxmlformats.org/officeDocument/2006/relationships/table" Target="../tables/table12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2.xml"/><Relationship Id="rId3" Type="http://schemas.openxmlformats.org/officeDocument/2006/relationships/table" Target="../tables/table127.xml"/><Relationship Id="rId7" Type="http://schemas.openxmlformats.org/officeDocument/2006/relationships/table" Target="../tables/table131.xml"/><Relationship Id="rId12" Type="http://schemas.openxmlformats.org/officeDocument/2006/relationships/table" Target="../tables/table13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130.xml"/><Relationship Id="rId11" Type="http://schemas.openxmlformats.org/officeDocument/2006/relationships/table" Target="../tables/table135.xml"/><Relationship Id="rId5" Type="http://schemas.openxmlformats.org/officeDocument/2006/relationships/table" Target="../tables/table129.xml"/><Relationship Id="rId10" Type="http://schemas.openxmlformats.org/officeDocument/2006/relationships/table" Target="../tables/table134.xml"/><Relationship Id="rId4" Type="http://schemas.openxmlformats.org/officeDocument/2006/relationships/table" Target="../tables/table128.xml"/><Relationship Id="rId9" Type="http://schemas.openxmlformats.org/officeDocument/2006/relationships/table" Target="../tables/table13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2.xml"/><Relationship Id="rId3" Type="http://schemas.openxmlformats.org/officeDocument/2006/relationships/table" Target="../tables/table137.xml"/><Relationship Id="rId7" Type="http://schemas.openxmlformats.org/officeDocument/2006/relationships/table" Target="../tables/table141.xml"/><Relationship Id="rId12" Type="http://schemas.openxmlformats.org/officeDocument/2006/relationships/table" Target="../tables/table1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140.xml"/><Relationship Id="rId11" Type="http://schemas.openxmlformats.org/officeDocument/2006/relationships/table" Target="../tables/table145.xml"/><Relationship Id="rId5" Type="http://schemas.openxmlformats.org/officeDocument/2006/relationships/table" Target="../tables/table139.xml"/><Relationship Id="rId10" Type="http://schemas.openxmlformats.org/officeDocument/2006/relationships/table" Target="../tables/table144.xml"/><Relationship Id="rId4" Type="http://schemas.openxmlformats.org/officeDocument/2006/relationships/table" Target="../tables/table138.xml"/><Relationship Id="rId9" Type="http://schemas.openxmlformats.org/officeDocument/2006/relationships/table" Target="../tables/table14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2.xml"/><Relationship Id="rId13" Type="http://schemas.openxmlformats.org/officeDocument/2006/relationships/table" Target="../tables/table157.xml"/><Relationship Id="rId3" Type="http://schemas.openxmlformats.org/officeDocument/2006/relationships/table" Target="../tables/table147.xml"/><Relationship Id="rId7" Type="http://schemas.openxmlformats.org/officeDocument/2006/relationships/table" Target="../tables/table151.xml"/><Relationship Id="rId12" Type="http://schemas.openxmlformats.org/officeDocument/2006/relationships/table" Target="../tables/table15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150.xml"/><Relationship Id="rId11" Type="http://schemas.openxmlformats.org/officeDocument/2006/relationships/table" Target="../tables/table155.xml"/><Relationship Id="rId5" Type="http://schemas.openxmlformats.org/officeDocument/2006/relationships/table" Target="../tables/table149.xml"/><Relationship Id="rId15" Type="http://schemas.openxmlformats.org/officeDocument/2006/relationships/table" Target="../tables/table159.xml"/><Relationship Id="rId10" Type="http://schemas.openxmlformats.org/officeDocument/2006/relationships/table" Target="../tables/table154.xml"/><Relationship Id="rId4" Type="http://schemas.openxmlformats.org/officeDocument/2006/relationships/table" Target="../tables/table148.xml"/><Relationship Id="rId9" Type="http://schemas.openxmlformats.org/officeDocument/2006/relationships/table" Target="../tables/table153.xml"/><Relationship Id="rId14" Type="http://schemas.openxmlformats.org/officeDocument/2006/relationships/table" Target="../tables/table158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5.xml"/><Relationship Id="rId3" Type="http://schemas.openxmlformats.org/officeDocument/2006/relationships/table" Target="../tables/table160.xml"/><Relationship Id="rId7" Type="http://schemas.openxmlformats.org/officeDocument/2006/relationships/table" Target="../tables/table164.xml"/><Relationship Id="rId12" Type="http://schemas.openxmlformats.org/officeDocument/2006/relationships/table" Target="../tables/table16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163.xml"/><Relationship Id="rId11" Type="http://schemas.openxmlformats.org/officeDocument/2006/relationships/table" Target="../tables/table168.xml"/><Relationship Id="rId5" Type="http://schemas.openxmlformats.org/officeDocument/2006/relationships/table" Target="../tables/table162.xml"/><Relationship Id="rId10" Type="http://schemas.openxmlformats.org/officeDocument/2006/relationships/table" Target="../tables/table167.xml"/><Relationship Id="rId4" Type="http://schemas.openxmlformats.org/officeDocument/2006/relationships/table" Target="../tables/table161.xml"/><Relationship Id="rId9" Type="http://schemas.openxmlformats.org/officeDocument/2006/relationships/table" Target="../tables/table166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5.xml"/><Relationship Id="rId3" Type="http://schemas.openxmlformats.org/officeDocument/2006/relationships/table" Target="../tables/table170.xml"/><Relationship Id="rId7" Type="http://schemas.openxmlformats.org/officeDocument/2006/relationships/table" Target="../tables/table174.xml"/><Relationship Id="rId12" Type="http://schemas.openxmlformats.org/officeDocument/2006/relationships/table" Target="../tables/table179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173.xml"/><Relationship Id="rId11" Type="http://schemas.openxmlformats.org/officeDocument/2006/relationships/table" Target="../tables/table178.xml"/><Relationship Id="rId5" Type="http://schemas.openxmlformats.org/officeDocument/2006/relationships/table" Target="../tables/table172.xml"/><Relationship Id="rId10" Type="http://schemas.openxmlformats.org/officeDocument/2006/relationships/table" Target="../tables/table177.xml"/><Relationship Id="rId4" Type="http://schemas.openxmlformats.org/officeDocument/2006/relationships/table" Target="../tables/table171.xml"/><Relationship Id="rId9" Type="http://schemas.openxmlformats.org/officeDocument/2006/relationships/table" Target="../tables/table176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5.xml"/><Relationship Id="rId3" Type="http://schemas.openxmlformats.org/officeDocument/2006/relationships/table" Target="../tables/table180.xml"/><Relationship Id="rId7" Type="http://schemas.openxmlformats.org/officeDocument/2006/relationships/table" Target="../tables/table184.xml"/><Relationship Id="rId12" Type="http://schemas.openxmlformats.org/officeDocument/2006/relationships/table" Target="../tables/table189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183.xml"/><Relationship Id="rId11" Type="http://schemas.openxmlformats.org/officeDocument/2006/relationships/table" Target="../tables/table188.xml"/><Relationship Id="rId5" Type="http://schemas.openxmlformats.org/officeDocument/2006/relationships/table" Target="../tables/table182.xml"/><Relationship Id="rId10" Type="http://schemas.openxmlformats.org/officeDocument/2006/relationships/table" Target="../tables/table187.xml"/><Relationship Id="rId4" Type="http://schemas.openxmlformats.org/officeDocument/2006/relationships/table" Target="../tables/table181.xml"/><Relationship Id="rId9" Type="http://schemas.openxmlformats.org/officeDocument/2006/relationships/table" Target="../tables/table186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5.xml"/><Relationship Id="rId3" Type="http://schemas.openxmlformats.org/officeDocument/2006/relationships/table" Target="../tables/table190.xml"/><Relationship Id="rId7" Type="http://schemas.openxmlformats.org/officeDocument/2006/relationships/table" Target="../tables/table194.xml"/><Relationship Id="rId12" Type="http://schemas.openxmlformats.org/officeDocument/2006/relationships/table" Target="../tables/table19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table" Target="../tables/table193.xml"/><Relationship Id="rId11" Type="http://schemas.openxmlformats.org/officeDocument/2006/relationships/table" Target="../tables/table198.xml"/><Relationship Id="rId5" Type="http://schemas.openxmlformats.org/officeDocument/2006/relationships/table" Target="../tables/table192.xml"/><Relationship Id="rId10" Type="http://schemas.openxmlformats.org/officeDocument/2006/relationships/table" Target="../tables/table197.xml"/><Relationship Id="rId4" Type="http://schemas.openxmlformats.org/officeDocument/2006/relationships/table" Target="../tables/table191.xml"/><Relationship Id="rId9" Type="http://schemas.openxmlformats.org/officeDocument/2006/relationships/table" Target="../tables/table19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5.xml"/><Relationship Id="rId3" Type="http://schemas.openxmlformats.org/officeDocument/2006/relationships/table" Target="../tables/table200.xml"/><Relationship Id="rId7" Type="http://schemas.openxmlformats.org/officeDocument/2006/relationships/table" Target="../tables/table204.xml"/><Relationship Id="rId12" Type="http://schemas.openxmlformats.org/officeDocument/2006/relationships/table" Target="../tables/table209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203.xml"/><Relationship Id="rId11" Type="http://schemas.openxmlformats.org/officeDocument/2006/relationships/table" Target="../tables/table208.xml"/><Relationship Id="rId5" Type="http://schemas.openxmlformats.org/officeDocument/2006/relationships/table" Target="../tables/table202.xml"/><Relationship Id="rId10" Type="http://schemas.openxmlformats.org/officeDocument/2006/relationships/table" Target="../tables/table207.xml"/><Relationship Id="rId4" Type="http://schemas.openxmlformats.org/officeDocument/2006/relationships/table" Target="../tables/table201.xml"/><Relationship Id="rId9" Type="http://schemas.openxmlformats.org/officeDocument/2006/relationships/table" Target="../tables/table206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5.xml"/><Relationship Id="rId3" Type="http://schemas.openxmlformats.org/officeDocument/2006/relationships/table" Target="../tables/table210.xml"/><Relationship Id="rId7" Type="http://schemas.openxmlformats.org/officeDocument/2006/relationships/table" Target="../tables/table214.xml"/><Relationship Id="rId12" Type="http://schemas.openxmlformats.org/officeDocument/2006/relationships/table" Target="../tables/table21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213.xml"/><Relationship Id="rId11" Type="http://schemas.openxmlformats.org/officeDocument/2006/relationships/table" Target="../tables/table218.xml"/><Relationship Id="rId5" Type="http://schemas.openxmlformats.org/officeDocument/2006/relationships/table" Target="../tables/table212.xml"/><Relationship Id="rId10" Type="http://schemas.openxmlformats.org/officeDocument/2006/relationships/table" Target="../tables/table217.xml"/><Relationship Id="rId4" Type="http://schemas.openxmlformats.org/officeDocument/2006/relationships/table" Target="../tables/table211.xml"/><Relationship Id="rId9" Type="http://schemas.openxmlformats.org/officeDocument/2006/relationships/table" Target="../tables/table21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3" Type="http://schemas.openxmlformats.org/officeDocument/2006/relationships/table" Target="../tables/table24.xml"/><Relationship Id="rId7" Type="http://schemas.openxmlformats.org/officeDocument/2006/relationships/table" Target="../tables/table28.xml"/><Relationship Id="rId12" Type="http://schemas.openxmlformats.org/officeDocument/2006/relationships/table" Target="../tables/table3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5" Type="http://schemas.openxmlformats.org/officeDocument/2006/relationships/table" Target="../tables/table26.xml"/><Relationship Id="rId10" Type="http://schemas.openxmlformats.org/officeDocument/2006/relationships/table" Target="../tables/table31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9.xml"/><Relationship Id="rId3" Type="http://schemas.openxmlformats.org/officeDocument/2006/relationships/table" Target="../tables/table34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5" Type="http://schemas.openxmlformats.org/officeDocument/2006/relationships/table" Target="../tables/table36.xml"/><Relationship Id="rId10" Type="http://schemas.openxmlformats.org/officeDocument/2006/relationships/table" Target="../tables/table41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9.xml"/><Relationship Id="rId3" Type="http://schemas.openxmlformats.org/officeDocument/2006/relationships/table" Target="../tables/table44.xml"/><Relationship Id="rId7" Type="http://schemas.openxmlformats.org/officeDocument/2006/relationships/table" Target="../tables/table48.xml"/><Relationship Id="rId12" Type="http://schemas.openxmlformats.org/officeDocument/2006/relationships/table" Target="../tables/table5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7.xml"/><Relationship Id="rId11" Type="http://schemas.openxmlformats.org/officeDocument/2006/relationships/table" Target="../tables/table52.xml"/><Relationship Id="rId5" Type="http://schemas.openxmlformats.org/officeDocument/2006/relationships/table" Target="../tables/table46.xml"/><Relationship Id="rId10" Type="http://schemas.openxmlformats.org/officeDocument/2006/relationships/table" Target="../tables/table51.xml"/><Relationship Id="rId4" Type="http://schemas.openxmlformats.org/officeDocument/2006/relationships/table" Target="../tables/table45.xml"/><Relationship Id="rId9" Type="http://schemas.openxmlformats.org/officeDocument/2006/relationships/table" Target="../tables/table5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9.xml"/><Relationship Id="rId3" Type="http://schemas.openxmlformats.org/officeDocument/2006/relationships/table" Target="../tables/table54.xml"/><Relationship Id="rId7" Type="http://schemas.openxmlformats.org/officeDocument/2006/relationships/table" Target="../tables/table58.xml"/><Relationship Id="rId12" Type="http://schemas.openxmlformats.org/officeDocument/2006/relationships/table" Target="../tables/table6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7.xml"/><Relationship Id="rId11" Type="http://schemas.openxmlformats.org/officeDocument/2006/relationships/table" Target="../tables/table62.xml"/><Relationship Id="rId5" Type="http://schemas.openxmlformats.org/officeDocument/2006/relationships/table" Target="../tables/table56.xml"/><Relationship Id="rId10" Type="http://schemas.openxmlformats.org/officeDocument/2006/relationships/table" Target="../tables/table61.xml"/><Relationship Id="rId4" Type="http://schemas.openxmlformats.org/officeDocument/2006/relationships/table" Target="../tables/table55.xml"/><Relationship Id="rId9" Type="http://schemas.openxmlformats.org/officeDocument/2006/relationships/table" Target="../tables/table6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9.xml"/><Relationship Id="rId3" Type="http://schemas.openxmlformats.org/officeDocument/2006/relationships/table" Target="../tables/table64.xml"/><Relationship Id="rId7" Type="http://schemas.openxmlformats.org/officeDocument/2006/relationships/table" Target="../tables/table68.xml"/><Relationship Id="rId12" Type="http://schemas.openxmlformats.org/officeDocument/2006/relationships/table" Target="../tables/table7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67.xml"/><Relationship Id="rId11" Type="http://schemas.openxmlformats.org/officeDocument/2006/relationships/table" Target="../tables/table72.xml"/><Relationship Id="rId5" Type="http://schemas.openxmlformats.org/officeDocument/2006/relationships/table" Target="../tables/table66.xml"/><Relationship Id="rId10" Type="http://schemas.openxmlformats.org/officeDocument/2006/relationships/table" Target="../tables/table71.xml"/><Relationship Id="rId4" Type="http://schemas.openxmlformats.org/officeDocument/2006/relationships/table" Target="../tables/table65.xml"/><Relationship Id="rId9" Type="http://schemas.openxmlformats.org/officeDocument/2006/relationships/table" Target="../tables/table7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9.xml"/><Relationship Id="rId13" Type="http://schemas.openxmlformats.org/officeDocument/2006/relationships/table" Target="../tables/table84.xml"/><Relationship Id="rId3" Type="http://schemas.openxmlformats.org/officeDocument/2006/relationships/table" Target="../tables/table74.xml"/><Relationship Id="rId7" Type="http://schemas.openxmlformats.org/officeDocument/2006/relationships/table" Target="../tables/table78.xml"/><Relationship Id="rId12" Type="http://schemas.openxmlformats.org/officeDocument/2006/relationships/table" Target="../tables/table8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77.xml"/><Relationship Id="rId11" Type="http://schemas.openxmlformats.org/officeDocument/2006/relationships/table" Target="../tables/table82.xml"/><Relationship Id="rId5" Type="http://schemas.openxmlformats.org/officeDocument/2006/relationships/table" Target="../tables/table76.xml"/><Relationship Id="rId15" Type="http://schemas.openxmlformats.org/officeDocument/2006/relationships/table" Target="../tables/table86.xml"/><Relationship Id="rId10" Type="http://schemas.openxmlformats.org/officeDocument/2006/relationships/table" Target="../tables/table81.xml"/><Relationship Id="rId4" Type="http://schemas.openxmlformats.org/officeDocument/2006/relationships/table" Target="../tables/table75.xml"/><Relationship Id="rId9" Type="http://schemas.openxmlformats.org/officeDocument/2006/relationships/table" Target="../tables/table80.xml"/><Relationship Id="rId14" Type="http://schemas.openxmlformats.org/officeDocument/2006/relationships/table" Target="../tables/table8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2.xml"/><Relationship Id="rId3" Type="http://schemas.openxmlformats.org/officeDocument/2006/relationships/table" Target="../tables/table87.xml"/><Relationship Id="rId7" Type="http://schemas.openxmlformats.org/officeDocument/2006/relationships/table" Target="../tables/table91.xml"/><Relationship Id="rId12" Type="http://schemas.openxmlformats.org/officeDocument/2006/relationships/table" Target="../tables/table9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0.xml"/><Relationship Id="rId11" Type="http://schemas.openxmlformats.org/officeDocument/2006/relationships/table" Target="../tables/table95.xml"/><Relationship Id="rId5" Type="http://schemas.openxmlformats.org/officeDocument/2006/relationships/table" Target="../tables/table89.xml"/><Relationship Id="rId10" Type="http://schemas.openxmlformats.org/officeDocument/2006/relationships/table" Target="../tables/table94.xml"/><Relationship Id="rId4" Type="http://schemas.openxmlformats.org/officeDocument/2006/relationships/table" Target="../tables/table88.xml"/><Relationship Id="rId9" Type="http://schemas.openxmlformats.org/officeDocument/2006/relationships/table" Target="../tables/table9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9358-ABC0-441B-B44B-0AA27E6EA4CB}">
  <dimension ref="A5:DJ275"/>
  <sheetViews>
    <sheetView showGridLines="0" tabSelected="1" zoomScaleNormal="100" zoomScaleSheetLayoutView="80" workbookViewId="0">
      <selection activeCell="DH5" sqref="DH5:DJ5"/>
    </sheetView>
  </sheetViews>
  <sheetFormatPr defaultRowHeight="15" x14ac:dyDescent="0.25"/>
  <cols>
    <col min="1" max="1" width="10.42578125" bestFit="1" customWidth="1"/>
    <col min="2" max="2" width="26" customWidth="1"/>
    <col min="3" max="3" width="25.85546875" customWidth="1"/>
    <col min="4" max="4" width="5.85546875" customWidth="1"/>
    <col min="5" max="8" width="9.140625" hidden="1" customWidth="1"/>
    <col min="9" max="9" width="26.8554687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109" width="9.140625" hidden="1" customWidth="1"/>
    <col min="110" max="110" width="9.140625" customWidth="1"/>
  </cols>
  <sheetData>
    <row r="5" spans="1:114" x14ac:dyDescent="0.25">
      <c r="DG5" s="5" t="s">
        <v>1343</v>
      </c>
      <c r="DH5" s="37"/>
      <c r="DI5" s="37"/>
      <c r="DJ5" s="37"/>
    </row>
    <row r="6" spans="1:114" x14ac:dyDescent="0.25">
      <c r="A6" s="10" t="s">
        <v>118</v>
      </c>
      <c r="DG6" s="5" t="s">
        <v>1344</v>
      </c>
      <c r="DH6" s="37"/>
      <c r="DI6" s="37"/>
      <c r="DJ6" s="37"/>
    </row>
    <row r="7" spans="1:114" x14ac:dyDescent="0.25">
      <c r="A7" s="10" t="s">
        <v>140</v>
      </c>
      <c r="DG7" s="5" t="s">
        <v>1345</v>
      </c>
      <c r="DH7" s="37"/>
      <c r="DI7" s="37"/>
      <c r="DJ7" s="37"/>
    </row>
    <row r="9" spans="1:114" x14ac:dyDescent="0.25">
      <c r="I9" s="6">
        <v>4</v>
      </c>
      <c r="Z9" s="2">
        <v>2</v>
      </c>
      <c r="AQ9" s="6" t="s">
        <v>1340</v>
      </c>
      <c r="BH9" s="2" t="s">
        <v>1341</v>
      </c>
      <c r="BY9" s="6"/>
      <c r="CP9" s="2"/>
    </row>
    <row r="10" spans="1:114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  <c r="BH10" t="s">
        <v>11</v>
      </c>
      <c r="BI10">
        <v>80</v>
      </c>
      <c r="BJ10">
        <v>80</v>
      </c>
      <c r="BK10">
        <v>80</v>
      </c>
      <c r="BL10">
        <v>70</v>
      </c>
      <c r="BM10">
        <v>70</v>
      </c>
      <c r="BN10">
        <v>70</v>
      </c>
      <c r="BO10">
        <v>50</v>
      </c>
      <c r="BP10">
        <v>50</v>
      </c>
      <c r="BQ10">
        <v>50</v>
      </c>
      <c r="BR10">
        <v>30</v>
      </c>
      <c r="BS10">
        <v>30</v>
      </c>
      <c r="BT10">
        <v>30</v>
      </c>
      <c r="BU10">
        <v>10</v>
      </c>
      <c r="BV10">
        <v>10</v>
      </c>
      <c r="BW10">
        <v>10</v>
      </c>
      <c r="BY10" t="s">
        <v>11</v>
      </c>
      <c r="BZ10">
        <v>80</v>
      </c>
      <c r="CA10">
        <v>80</v>
      </c>
      <c r="CB10">
        <v>80</v>
      </c>
      <c r="CC10">
        <v>70</v>
      </c>
      <c r="CD10">
        <v>70</v>
      </c>
      <c r="CE10">
        <v>70</v>
      </c>
      <c r="CF10">
        <v>50</v>
      </c>
      <c r="CG10">
        <v>50</v>
      </c>
      <c r="CH10">
        <v>50</v>
      </c>
      <c r="CI10">
        <v>30</v>
      </c>
      <c r="CJ10">
        <v>30</v>
      </c>
      <c r="CK10">
        <v>30</v>
      </c>
      <c r="CL10">
        <v>10</v>
      </c>
      <c r="CM10">
        <v>10</v>
      </c>
      <c r="CN10">
        <v>10</v>
      </c>
      <c r="CP10" t="s">
        <v>11</v>
      </c>
      <c r="CQ10">
        <v>80</v>
      </c>
      <c r="CR10">
        <v>80</v>
      </c>
      <c r="CS10">
        <v>80</v>
      </c>
      <c r="CT10">
        <v>70</v>
      </c>
      <c r="CU10">
        <v>70</v>
      </c>
      <c r="CV10">
        <v>70</v>
      </c>
      <c r="CW10">
        <v>50</v>
      </c>
      <c r="CX10">
        <v>50</v>
      </c>
      <c r="CY10">
        <v>50</v>
      </c>
      <c r="CZ10">
        <v>30</v>
      </c>
      <c r="DA10">
        <v>30</v>
      </c>
      <c r="DB10">
        <v>30</v>
      </c>
      <c r="DC10">
        <v>10</v>
      </c>
      <c r="DD10">
        <v>10</v>
      </c>
      <c r="DE10">
        <v>10</v>
      </c>
    </row>
    <row r="11" spans="1:114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  <c r="BH11" t="s">
        <v>12</v>
      </c>
      <c r="BI11">
        <v>50</v>
      </c>
      <c r="BJ11">
        <v>30</v>
      </c>
      <c r="BK11">
        <v>10</v>
      </c>
      <c r="BL11">
        <v>50</v>
      </c>
      <c r="BM11">
        <v>30</v>
      </c>
      <c r="BN11">
        <v>10</v>
      </c>
      <c r="BO11">
        <v>50</v>
      </c>
      <c r="BP11">
        <v>30</v>
      </c>
      <c r="BQ11">
        <v>10</v>
      </c>
      <c r="BR11">
        <v>50</v>
      </c>
      <c r="BS11">
        <v>30</v>
      </c>
      <c r="BT11">
        <v>10</v>
      </c>
      <c r="BU11">
        <v>50</v>
      </c>
      <c r="BV11">
        <v>30</v>
      </c>
      <c r="BW11">
        <v>10</v>
      </c>
      <c r="BY11" t="s">
        <v>12</v>
      </c>
      <c r="BZ11">
        <v>50</v>
      </c>
      <c r="CA11">
        <v>30</v>
      </c>
      <c r="CB11">
        <v>10</v>
      </c>
      <c r="CC11">
        <v>50</v>
      </c>
      <c r="CD11">
        <v>30</v>
      </c>
      <c r="CE11">
        <v>10</v>
      </c>
      <c r="CF11">
        <v>50</v>
      </c>
      <c r="CG11">
        <v>30</v>
      </c>
      <c r="CH11">
        <v>10</v>
      </c>
      <c r="CI11">
        <v>50</v>
      </c>
      <c r="CJ11">
        <v>30</v>
      </c>
      <c r="CK11">
        <v>10</v>
      </c>
      <c r="CL11">
        <v>50</v>
      </c>
      <c r="CM11">
        <v>30</v>
      </c>
      <c r="CN11">
        <v>10</v>
      </c>
      <c r="CP11" t="s">
        <v>12</v>
      </c>
      <c r="CQ11">
        <v>50</v>
      </c>
      <c r="CR11">
        <v>30</v>
      </c>
      <c r="CS11">
        <v>10</v>
      </c>
      <c r="CT11">
        <v>50</v>
      </c>
      <c r="CU11">
        <v>30</v>
      </c>
      <c r="CV11">
        <v>10</v>
      </c>
      <c r="CW11">
        <v>50</v>
      </c>
      <c r="CX11">
        <v>30</v>
      </c>
      <c r="CY11">
        <v>10</v>
      </c>
      <c r="CZ11">
        <v>50</v>
      </c>
      <c r="DA11">
        <v>30</v>
      </c>
      <c r="DB11">
        <v>10</v>
      </c>
      <c r="DC11">
        <v>50</v>
      </c>
      <c r="DD11">
        <v>30</v>
      </c>
      <c r="DE11">
        <v>10</v>
      </c>
    </row>
    <row r="12" spans="1:114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  <c r="BH12" t="s">
        <v>14</v>
      </c>
      <c r="BI12" t="s">
        <v>13</v>
      </c>
      <c r="BJ12" t="s">
        <v>16</v>
      </c>
      <c r="BK12" t="s">
        <v>17</v>
      </c>
      <c r="BL12" t="s">
        <v>18</v>
      </c>
      <c r="BM12" t="s">
        <v>19</v>
      </c>
      <c r="BN12" t="s">
        <v>20</v>
      </c>
      <c r="BO12" t="s">
        <v>21</v>
      </c>
      <c r="BP12" t="s">
        <v>22</v>
      </c>
      <c r="BQ12" t="s">
        <v>23</v>
      </c>
      <c r="BR12" t="s">
        <v>24</v>
      </c>
      <c r="BS12" t="s">
        <v>26</v>
      </c>
      <c r="BT12" t="s">
        <v>25</v>
      </c>
      <c r="BU12" t="s">
        <v>27</v>
      </c>
      <c r="BV12" t="s">
        <v>28</v>
      </c>
      <c r="BW12" t="s">
        <v>29</v>
      </c>
      <c r="BY12" t="s">
        <v>14</v>
      </c>
      <c r="BZ12" t="s">
        <v>13</v>
      </c>
      <c r="CA12" t="s">
        <v>16</v>
      </c>
      <c r="CB12" t="s">
        <v>17</v>
      </c>
      <c r="CC12" t="s">
        <v>18</v>
      </c>
      <c r="CD12" t="s">
        <v>19</v>
      </c>
      <c r="CE12" t="s">
        <v>20</v>
      </c>
      <c r="CF12" t="s">
        <v>21</v>
      </c>
      <c r="CG12" t="s">
        <v>22</v>
      </c>
      <c r="CH12" t="s">
        <v>23</v>
      </c>
      <c r="CI12" t="s">
        <v>24</v>
      </c>
      <c r="CJ12" t="s">
        <v>26</v>
      </c>
      <c r="CK12" t="s">
        <v>25</v>
      </c>
      <c r="CL12" t="s">
        <v>27</v>
      </c>
      <c r="CM12" t="s">
        <v>28</v>
      </c>
      <c r="CN12" t="s">
        <v>29</v>
      </c>
      <c r="CP12" t="s">
        <v>14</v>
      </c>
      <c r="CQ12" t="s">
        <v>13</v>
      </c>
      <c r="CR12" t="s">
        <v>16</v>
      </c>
      <c r="CS12" t="s">
        <v>17</v>
      </c>
      <c r="CT12" t="s">
        <v>18</v>
      </c>
      <c r="CU12" t="s">
        <v>19</v>
      </c>
      <c r="CV12" t="s">
        <v>20</v>
      </c>
      <c r="CW12" t="s">
        <v>21</v>
      </c>
      <c r="CX12" t="s">
        <v>22</v>
      </c>
      <c r="CY12" t="s">
        <v>23</v>
      </c>
      <c r="CZ12" t="s">
        <v>24</v>
      </c>
      <c r="DA12" t="s">
        <v>26</v>
      </c>
      <c r="DB12" t="s">
        <v>25</v>
      </c>
      <c r="DC12" t="s">
        <v>27</v>
      </c>
      <c r="DD12" t="s">
        <v>28</v>
      </c>
      <c r="DE12" t="s">
        <v>29</v>
      </c>
    </row>
    <row r="13" spans="1:114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111</v>
      </c>
      <c r="AY13">
        <v>111</v>
      </c>
      <c r="AZ13">
        <v>111</v>
      </c>
      <c r="BA13">
        <v>106</v>
      </c>
      <c r="BB13">
        <v>106</v>
      </c>
      <c r="BC13">
        <v>106</v>
      </c>
      <c r="BD13">
        <v>102</v>
      </c>
      <c r="BE13">
        <v>102</v>
      </c>
      <c r="BF13">
        <v>102</v>
      </c>
      <c r="BH13">
        <v>0</v>
      </c>
      <c r="BI13">
        <v>119</v>
      </c>
      <c r="BJ13">
        <v>119</v>
      </c>
      <c r="BK13">
        <v>119</v>
      </c>
      <c r="BL13">
        <v>116</v>
      </c>
      <c r="BM13">
        <v>116</v>
      </c>
      <c r="BN13">
        <v>116</v>
      </c>
      <c r="BO13">
        <v>111</v>
      </c>
      <c r="BP13">
        <v>111</v>
      </c>
      <c r="BQ13">
        <v>111</v>
      </c>
      <c r="BR13">
        <v>106</v>
      </c>
      <c r="BS13">
        <v>106</v>
      </c>
      <c r="BT13">
        <v>106</v>
      </c>
      <c r="BU13">
        <v>102</v>
      </c>
      <c r="BV13">
        <v>102</v>
      </c>
      <c r="BW13">
        <v>102</v>
      </c>
      <c r="BY13">
        <v>0</v>
      </c>
      <c r="CP13">
        <v>0</v>
      </c>
    </row>
    <row r="14" spans="1:114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96</v>
      </c>
      <c r="M14">
        <v>102</v>
      </c>
      <c r="N14">
        <v>98</v>
      </c>
      <c r="O14">
        <v>95</v>
      </c>
      <c r="P14">
        <v>98</v>
      </c>
      <c r="Q14">
        <v>95</v>
      </c>
      <c r="R14">
        <v>92</v>
      </c>
      <c r="S14">
        <v>94</v>
      </c>
      <c r="T14">
        <v>91</v>
      </c>
      <c r="U14">
        <v>89</v>
      </c>
      <c r="V14">
        <v>90</v>
      </c>
      <c r="W14">
        <v>88</v>
      </c>
      <c r="X14">
        <v>86</v>
      </c>
      <c r="Z14">
        <v>1</v>
      </c>
      <c r="AA14">
        <v>104</v>
      </c>
      <c r="AB14">
        <v>100</v>
      </c>
      <c r="AC14">
        <v>96</v>
      </c>
      <c r="AD14">
        <v>102</v>
      </c>
      <c r="AE14">
        <v>98</v>
      </c>
      <c r="AF14">
        <v>95</v>
      </c>
      <c r="AG14">
        <v>98</v>
      </c>
      <c r="AH14">
        <v>95</v>
      </c>
      <c r="AI14">
        <v>92</v>
      </c>
      <c r="AJ14">
        <v>94</v>
      </c>
      <c r="AK14">
        <v>91</v>
      </c>
      <c r="AL14">
        <v>89</v>
      </c>
      <c r="AM14">
        <v>90</v>
      </c>
      <c r="AN14">
        <v>88</v>
      </c>
      <c r="AO14">
        <v>86</v>
      </c>
      <c r="AQ14">
        <v>1</v>
      </c>
      <c r="AR14">
        <v>104</v>
      </c>
      <c r="AS14">
        <v>99</v>
      </c>
      <c r="AT14">
        <v>96</v>
      </c>
      <c r="AU14">
        <v>101</v>
      </c>
      <c r="AV14">
        <v>98</v>
      </c>
      <c r="AW14">
        <v>94</v>
      </c>
      <c r="AX14">
        <v>97</v>
      </c>
      <c r="AY14">
        <v>94</v>
      </c>
      <c r="AZ14">
        <v>91</v>
      </c>
      <c r="BA14">
        <v>93</v>
      </c>
      <c r="BB14">
        <v>91</v>
      </c>
      <c r="BC14">
        <v>88</v>
      </c>
      <c r="BD14">
        <v>90</v>
      </c>
      <c r="BE14">
        <v>88</v>
      </c>
      <c r="BF14">
        <v>86</v>
      </c>
      <c r="BH14">
        <v>1</v>
      </c>
      <c r="BI14">
        <v>104</v>
      </c>
      <c r="BJ14">
        <v>100</v>
      </c>
      <c r="BK14">
        <v>96</v>
      </c>
      <c r="BL14">
        <v>102</v>
      </c>
      <c r="BM14">
        <v>98</v>
      </c>
      <c r="BN14">
        <v>94</v>
      </c>
      <c r="BO14">
        <v>97</v>
      </c>
      <c r="BP14">
        <v>94</v>
      </c>
      <c r="BQ14">
        <v>91</v>
      </c>
      <c r="BR14">
        <v>93</v>
      </c>
      <c r="BS14">
        <v>91</v>
      </c>
      <c r="BT14">
        <v>88</v>
      </c>
      <c r="BU14">
        <v>90</v>
      </c>
      <c r="BV14">
        <v>88</v>
      </c>
      <c r="BW14">
        <v>86</v>
      </c>
      <c r="BY14">
        <v>1</v>
      </c>
      <c r="CP14">
        <v>1</v>
      </c>
    </row>
    <row r="15" spans="1:114" x14ac:dyDescent="0.25">
      <c r="B15" t="s">
        <v>0</v>
      </c>
      <c r="C15" s="22">
        <v>2.5</v>
      </c>
      <c r="D15" t="s">
        <v>8</v>
      </c>
      <c r="I15">
        <v>2</v>
      </c>
      <c r="J15">
        <v>91</v>
      </c>
      <c r="K15">
        <v>84</v>
      </c>
      <c r="L15">
        <v>78</v>
      </c>
      <c r="M15">
        <v>89</v>
      </c>
      <c r="N15">
        <v>83</v>
      </c>
      <c r="O15">
        <v>77</v>
      </c>
      <c r="P15">
        <v>85</v>
      </c>
      <c r="Q15">
        <v>80</v>
      </c>
      <c r="R15">
        <v>75</v>
      </c>
      <c r="S15">
        <v>82</v>
      </c>
      <c r="T15">
        <v>78</v>
      </c>
      <c r="U15">
        <v>74</v>
      </c>
      <c r="V15">
        <v>79</v>
      </c>
      <c r="W15">
        <v>75</v>
      </c>
      <c r="X15">
        <v>72</v>
      </c>
      <c r="Z15">
        <v>2</v>
      </c>
      <c r="AA15">
        <v>91</v>
      </c>
      <c r="AB15">
        <v>84</v>
      </c>
      <c r="AC15">
        <v>78</v>
      </c>
      <c r="AD15">
        <v>89</v>
      </c>
      <c r="AE15">
        <v>83</v>
      </c>
      <c r="AF15">
        <v>77</v>
      </c>
      <c r="AG15">
        <v>85</v>
      </c>
      <c r="AH15">
        <v>80</v>
      </c>
      <c r="AI15">
        <v>76</v>
      </c>
      <c r="AJ15">
        <v>82</v>
      </c>
      <c r="AK15">
        <v>78</v>
      </c>
      <c r="AL15">
        <v>74</v>
      </c>
      <c r="AM15">
        <v>79</v>
      </c>
      <c r="AN15">
        <v>75</v>
      </c>
      <c r="AO15">
        <v>72</v>
      </c>
      <c r="AQ15">
        <v>2</v>
      </c>
      <c r="AR15">
        <v>90</v>
      </c>
      <c r="AS15">
        <v>83</v>
      </c>
      <c r="AT15">
        <v>78</v>
      </c>
      <c r="AU15">
        <v>88</v>
      </c>
      <c r="AV15">
        <v>82</v>
      </c>
      <c r="AW15">
        <v>77</v>
      </c>
      <c r="AX15">
        <v>85</v>
      </c>
      <c r="AY15">
        <v>80</v>
      </c>
      <c r="AZ15">
        <v>75</v>
      </c>
      <c r="BA15">
        <v>82</v>
      </c>
      <c r="BB15">
        <v>77</v>
      </c>
      <c r="BC15">
        <v>73</v>
      </c>
      <c r="BD15">
        <v>79</v>
      </c>
      <c r="BE15">
        <v>75</v>
      </c>
      <c r="BF15">
        <v>72</v>
      </c>
      <c r="BH15">
        <v>2</v>
      </c>
      <c r="BI15">
        <v>91</v>
      </c>
      <c r="BJ15">
        <v>84</v>
      </c>
      <c r="BK15">
        <v>78</v>
      </c>
      <c r="BL15">
        <v>89</v>
      </c>
      <c r="BM15">
        <v>82</v>
      </c>
      <c r="BN15">
        <v>77</v>
      </c>
      <c r="BO15">
        <v>85</v>
      </c>
      <c r="BP15">
        <v>80</v>
      </c>
      <c r="BQ15">
        <v>75</v>
      </c>
      <c r="BR15">
        <v>82</v>
      </c>
      <c r="BS15">
        <v>77</v>
      </c>
      <c r="BT15">
        <v>74</v>
      </c>
      <c r="BU15">
        <v>79</v>
      </c>
      <c r="BV15">
        <v>75</v>
      </c>
      <c r="BW15">
        <v>72</v>
      </c>
      <c r="BY15">
        <v>2</v>
      </c>
      <c r="CP15">
        <v>2</v>
      </c>
    </row>
    <row r="16" spans="1:114" x14ac:dyDescent="0.25">
      <c r="B16" t="s">
        <v>4</v>
      </c>
      <c r="C16" s="15" t="e">
        <f>(5*(C14-C15)*(C11+C12))/(C11*C12)</f>
        <v>#DIV/0!</v>
      </c>
      <c r="I16">
        <v>3</v>
      </c>
      <c r="J16">
        <v>79</v>
      </c>
      <c r="K16">
        <v>71</v>
      </c>
      <c r="L16">
        <v>65</v>
      </c>
      <c r="M16">
        <v>78</v>
      </c>
      <c r="N16">
        <v>70</v>
      </c>
      <c r="O16">
        <v>64</v>
      </c>
      <c r="P16">
        <v>75</v>
      </c>
      <c r="Q16">
        <v>68</v>
      </c>
      <c r="R16">
        <v>63</v>
      </c>
      <c r="S16">
        <v>72</v>
      </c>
      <c r="T16">
        <v>67</v>
      </c>
      <c r="U16">
        <v>62</v>
      </c>
      <c r="V16">
        <v>70</v>
      </c>
      <c r="W16">
        <v>65</v>
      </c>
      <c r="X16">
        <v>61</v>
      </c>
      <c r="Z16">
        <v>3</v>
      </c>
      <c r="AA16">
        <v>80</v>
      </c>
      <c r="AB16">
        <v>71</v>
      </c>
      <c r="AC16">
        <v>65</v>
      </c>
      <c r="AD16">
        <v>78</v>
      </c>
      <c r="AE16">
        <v>70</v>
      </c>
      <c r="AF16">
        <v>64</v>
      </c>
      <c r="AG16">
        <v>75</v>
      </c>
      <c r="AH16">
        <v>69</v>
      </c>
      <c r="AI16">
        <v>63</v>
      </c>
      <c r="AJ16">
        <v>72</v>
      </c>
      <c r="AK16">
        <v>67</v>
      </c>
      <c r="AL16">
        <v>62</v>
      </c>
      <c r="AM16">
        <v>70</v>
      </c>
      <c r="AN16">
        <v>65</v>
      </c>
      <c r="AO16">
        <v>61</v>
      </c>
      <c r="AQ16">
        <v>3</v>
      </c>
      <c r="AR16">
        <v>79</v>
      </c>
      <c r="AS16">
        <v>71</v>
      </c>
      <c r="AT16">
        <v>64</v>
      </c>
      <c r="AU16">
        <v>78</v>
      </c>
      <c r="AV16">
        <v>70</v>
      </c>
      <c r="AW16">
        <v>64</v>
      </c>
      <c r="AX16">
        <v>75</v>
      </c>
      <c r="AY16">
        <v>68</v>
      </c>
      <c r="AZ16">
        <v>63</v>
      </c>
      <c r="BA16">
        <v>72</v>
      </c>
      <c r="BB16">
        <v>66</v>
      </c>
      <c r="BC16">
        <v>62</v>
      </c>
      <c r="BD16">
        <v>69</v>
      </c>
      <c r="BE16">
        <v>65</v>
      </c>
      <c r="BF16">
        <v>61</v>
      </c>
      <c r="BH16">
        <v>3</v>
      </c>
      <c r="BI16">
        <v>80</v>
      </c>
      <c r="BJ16">
        <v>71</v>
      </c>
      <c r="BK16">
        <v>65</v>
      </c>
      <c r="BL16">
        <v>78</v>
      </c>
      <c r="BM16">
        <v>70</v>
      </c>
      <c r="BN16">
        <v>64</v>
      </c>
      <c r="BO16">
        <v>75</v>
      </c>
      <c r="BP16">
        <v>68</v>
      </c>
      <c r="BQ16">
        <v>63</v>
      </c>
      <c r="BR16">
        <v>72</v>
      </c>
      <c r="BS16">
        <v>67</v>
      </c>
      <c r="BT16">
        <v>62</v>
      </c>
      <c r="BU16">
        <v>70</v>
      </c>
      <c r="BV16">
        <v>65</v>
      </c>
      <c r="BW16">
        <v>61</v>
      </c>
      <c r="BY16">
        <v>3</v>
      </c>
      <c r="CP16">
        <v>3</v>
      </c>
    </row>
    <row r="17" spans="1:114" x14ac:dyDescent="0.25">
      <c r="B17" t="s">
        <v>5</v>
      </c>
      <c r="C17" s="22">
        <v>70</v>
      </c>
      <c r="I17">
        <v>4</v>
      </c>
      <c r="J17">
        <v>70</v>
      </c>
      <c r="K17">
        <v>61</v>
      </c>
      <c r="L17">
        <v>55</v>
      </c>
      <c r="M17">
        <v>69</v>
      </c>
      <c r="N17">
        <v>61</v>
      </c>
      <c r="O17">
        <v>54</v>
      </c>
      <c r="P17">
        <v>66</v>
      </c>
      <c r="Q17">
        <v>59</v>
      </c>
      <c r="R17">
        <v>54</v>
      </c>
      <c r="S17">
        <v>64</v>
      </c>
      <c r="T17">
        <v>58</v>
      </c>
      <c r="U17">
        <v>53</v>
      </c>
      <c r="V17">
        <v>62</v>
      </c>
      <c r="W17">
        <v>56</v>
      </c>
      <c r="X17">
        <v>52</v>
      </c>
      <c r="Z17">
        <v>4</v>
      </c>
      <c r="AA17">
        <v>70</v>
      </c>
      <c r="AB17">
        <v>62</v>
      </c>
      <c r="AC17">
        <v>55</v>
      </c>
      <c r="AD17">
        <v>69</v>
      </c>
      <c r="AE17">
        <v>61</v>
      </c>
      <c r="AF17">
        <v>54</v>
      </c>
      <c r="AG17">
        <v>67</v>
      </c>
      <c r="AH17">
        <v>59</v>
      </c>
      <c r="AI17">
        <v>54</v>
      </c>
      <c r="AJ17">
        <v>64</v>
      </c>
      <c r="AK17">
        <v>58</v>
      </c>
      <c r="AL17">
        <v>53</v>
      </c>
      <c r="AM17">
        <v>62</v>
      </c>
      <c r="AN17">
        <v>57</v>
      </c>
      <c r="AO17">
        <v>52</v>
      </c>
      <c r="AQ17">
        <v>4</v>
      </c>
      <c r="AR17">
        <v>70</v>
      </c>
      <c r="AS17">
        <v>61</v>
      </c>
      <c r="AT17">
        <v>55</v>
      </c>
      <c r="AU17">
        <v>69</v>
      </c>
      <c r="AV17">
        <v>61</v>
      </c>
      <c r="AW17">
        <v>54</v>
      </c>
      <c r="AX17">
        <v>66</v>
      </c>
      <c r="AY17">
        <v>59</v>
      </c>
      <c r="AZ17">
        <v>53</v>
      </c>
      <c r="BA17">
        <v>64</v>
      </c>
      <c r="BB17">
        <v>58</v>
      </c>
      <c r="BC17">
        <v>53</v>
      </c>
      <c r="BD17">
        <v>62</v>
      </c>
      <c r="BE17">
        <v>56</v>
      </c>
      <c r="BF17">
        <v>52</v>
      </c>
      <c r="BH17">
        <v>4</v>
      </c>
      <c r="BI17">
        <v>71</v>
      </c>
      <c r="BJ17">
        <v>62</v>
      </c>
      <c r="BK17">
        <v>55</v>
      </c>
      <c r="BL17">
        <v>69</v>
      </c>
      <c r="BM17">
        <v>61</v>
      </c>
      <c r="BN17">
        <v>55</v>
      </c>
      <c r="BO17">
        <v>67</v>
      </c>
      <c r="BP17">
        <v>59</v>
      </c>
      <c r="BQ17">
        <v>54</v>
      </c>
      <c r="BR17">
        <v>64</v>
      </c>
      <c r="BS17">
        <v>58</v>
      </c>
      <c r="BT17">
        <v>53</v>
      </c>
      <c r="BU17">
        <v>62</v>
      </c>
      <c r="BV17">
        <v>57</v>
      </c>
      <c r="BW17">
        <v>52</v>
      </c>
      <c r="BY17">
        <v>4</v>
      </c>
      <c r="CP17">
        <v>4</v>
      </c>
    </row>
    <row r="18" spans="1:114" x14ac:dyDescent="0.25">
      <c r="B18" t="s">
        <v>6</v>
      </c>
      <c r="C18" s="22">
        <v>30</v>
      </c>
      <c r="I18">
        <v>5</v>
      </c>
      <c r="J18">
        <v>63</v>
      </c>
      <c r="K18">
        <v>54</v>
      </c>
      <c r="L18">
        <v>47</v>
      </c>
      <c r="M18">
        <v>62</v>
      </c>
      <c r="N18">
        <v>53</v>
      </c>
      <c r="O18">
        <v>47</v>
      </c>
      <c r="P18">
        <v>59</v>
      </c>
      <c r="Q18">
        <v>52</v>
      </c>
      <c r="R18">
        <v>46</v>
      </c>
      <c r="S18">
        <v>57</v>
      </c>
      <c r="T18">
        <v>51</v>
      </c>
      <c r="U18">
        <v>46</v>
      </c>
      <c r="V18">
        <v>56</v>
      </c>
      <c r="W18">
        <v>50</v>
      </c>
      <c r="X18">
        <v>45</v>
      </c>
      <c r="Z18">
        <v>5</v>
      </c>
      <c r="AA18">
        <v>63</v>
      </c>
      <c r="AB18">
        <v>54</v>
      </c>
      <c r="AC18">
        <v>47</v>
      </c>
      <c r="AD18">
        <v>62</v>
      </c>
      <c r="AE18">
        <v>53</v>
      </c>
      <c r="AF18">
        <v>47</v>
      </c>
      <c r="AG18">
        <v>60</v>
      </c>
      <c r="AH18">
        <v>52</v>
      </c>
      <c r="AI18">
        <v>46</v>
      </c>
      <c r="AJ18">
        <v>58</v>
      </c>
      <c r="AK18">
        <v>51</v>
      </c>
      <c r="AL18">
        <v>46</v>
      </c>
      <c r="AM18">
        <v>56</v>
      </c>
      <c r="AN18">
        <v>50</v>
      </c>
      <c r="AO18">
        <v>45</v>
      </c>
      <c r="AQ18">
        <v>5</v>
      </c>
      <c r="AR18">
        <v>63</v>
      </c>
      <c r="AS18">
        <v>54</v>
      </c>
      <c r="AT18">
        <v>47</v>
      </c>
      <c r="AU18">
        <v>62</v>
      </c>
      <c r="AV18">
        <v>53</v>
      </c>
      <c r="AW18">
        <v>47</v>
      </c>
      <c r="AX18">
        <v>59</v>
      </c>
      <c r="AY18">
        <v>52</v>
      </c>
      <c r="AZ18">
        <v>46</v>
      </c>
      <c r="BA18">
        <v>57</v>
      </c>
      <c r="BB18">
        <v>51</v>
      </c>
      <c r="BC18">
        <v>46</v>
      </c>
      <c r="BD18">
        <v>56</v>
      </c>
      <c r="BE18">
        <v>50</v>
      </c>
      <c r="BF18">
        <v>45</v>
      </c>
      <c r="BH18">
        <v>5</v>
      </c>
      <c r="BI18">
        <v>63</v>
      </c>
      <c r="BJ18">
        <v>54</v>
      </c>
      <c r="BK18">
        <v>47</v>
      </c>
      <c r="BL18">
        <v>62</v>
      </c>
      <c r="BM18">
        <v>53</v>
      </c>
      <c r="BN18">
        <v>47</v>
      </c>
      <c r="BO18">
        <v>60</v>
      </c>
      <c r="BP18">
        <v>52</v>
      </c>
      <c r="BQ18">
        <v>47</v>
      </c>
      <c r="BR18">
        <v>58</v>
      </c>
      <c r="BS18">
        <v>51</v>
      </c>
      <c r="BT18">
        <v>46</v>
      </c>
      <c r="BU18">
        <v>56</v>
      </c>
      <c r="BV18">
        <v>50</v>
      </c>
      <c r="BW18">
        <v>46</v>
      </c>
      <c r="BY18">
        <v>5</v>
      </c>
      <c r="CP18">
        <v>5</v>
      </c>
    </row>
    <row r="19" spans="1:114" x14ac:dyDescent="0.25">
      <c r="B19" t="s">
        <v>7</v>
      </c>
      <c r="C19">
        <v>20</v>
      </c>
      <c r="I19">
        <v>6</v>
      </c>
      <c r="J19">
        <v>56</v>
      </c>
      <c r="K19">
        <v>47</v>
      </c>
      <c r="L19">
        <v>41</v>
      </c>
      <c r="M19">
        <v>55</v>
      </c>
      <c r="N19">
        <v>47</v>
      </c>
      <c r="O19">
        <v>41</v>
      </c>
      <c r="P19">
        <v>54</v>
      </c>
      <c r="Q19">
        <v>46</v>
      </c>
      <c r="R19">
        <v>40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39</v>
      </c>
      <c r="Z19">
        <v>6</v>
      </c>
      <c r="AA19">
        <v>56</v>
      </c>
      <c r="AB19">
        <v>47</v>
      </c>
      <c r="AC19">
        <v>41</v>
      </c>
      <c r="AD19">
        <v>55</v>
      </c>
      <c r="AE19">
        <v>47</v>
      </c>
      <c r="AF19">
        <v>41</v>
      </c>
      <c r="AG19">
        <v>54</v>
      </c>
      <c r="AH19">
        <v>46</v>
      </c>
      <c r="AI19">
        <v>40</v>
      </c>
      <c r="AJ19">
        <v>52</v>
      </c>
      <c r="AK19">
        <v>45</v>
      </c>
      <c r="AL19">
        <v>40</v>
      </c>
      <c r="AM19">
        <v>50</v>
      </c>
      <c r="AN19">
        <v>44</v>
      </c>
      <c r="AO19">
        <v>40</v>
      </c>
      <c r="AQ19">
        <v>6</v>
      </c>
      <c r="AR19">
        <v>56</v>
      </c>
      <c r="AS19">
        <v>47</v>
      </c>
      <c r="AT19">
        <v>41</v>
      </c>
      <c r="AU19">
        <v>55</v>
      </c>
      <c r="AV19">
        <v>47</v>
      </c>
      <c r="AW19">
        <v>41</v>
      </c>
      <c r="AX19">
        <v>54</v>
      </c>
      <c r="AY19">
        <v>46</v>
      </c>
      <c r="AZ19">
        <v>40</v>
      </c>
      <c r="BA19">
        <v>52</v>
      </c>
      <c r="BB19">
        <v>45</v>
      </c>
      <c r="BC19">
        <v>40</v>
      </c>
      <c r="BD19">
        <v>50</v>
      </c>
      <c r="BE19">
        <v>44</v>
      </c>
      <c r="BF19">
        <v>40</v>
      </c>
      <c r="BH19">
        <v>6</v>
      </c>
      <c r="BI19">
        <v>57</v>
      </c>
      <c r="BJ19">
        <v>48</v>
      </c>
      <c r="BK19">
        <v>41</v>
      </c>
      <c r="BL19">
        <v>56</v>
      </c>
      <c r="BM19">
        <v>47</v>
      </c>
      <c r="BN19">
        <v>41</v>
      </c>
      <c r="BO19">
        <v>54</v>
      </c>
      <c r="BP19">
        <v>46</v>
      </c>
      <c r="BQ19">
        <v>41</v>
      </c>
      <c r="BR19">
        <v>52</v>
      </c>
      <c r="BS19">
        <v>46</v>
      </c>
      <c r="BT19">
        <v>40</v>
      </c>
      <c r="BU19">
        <v>51</v>
      </c>
      <c r="BV19">
        <v>45</v>
      </c>
      <c r="BW19">
        <v>40</v>
      </c>
      <c r="BY19">
        <v>6</v>
      </c>
      <c r="CP19">
        <v>6</v>
      </c>
    </row>
    <row r="20" spans="1:114" x14ac:dyDescent="0.25">
      <c r="I20">
        <v>7</v>
      </c>
      <c r="J20">
        <v>51</v>
      </c>
      <c r="K20">
        <v>42</v>
      </c>
      <c r="L20">
        <v>36</v>
      </c>
      <c r="M20">
        <v>50</v>
      </c>
      <c r="N20">
        <v>42</v>
      </c>
      <c r="O20">
        <v>36</v>
      </c>
      <c r="P20">
        <v>49</v>
      </c>
      <c r="Q20">
        <v>41</v>
      </c>
      <c r="R20">
        <v>35</v>
      </c>
      <c r="S20">
        <v>47</v>
      </c>
      <c r="T20">
        <v>40</v>
      </c>
      <c r="U20">
        <v>35</v>
      </c>
      <c r="V20">
        <v>46</v>
      </c>
      <c r="W20">
        <v>40</v>
      </c>
      <c r="X20">
        <v>35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42</v>
      </c>
      <c r="AF20">
        <v>36</v>
      </c>
      <c r="AG20">
        <v>49</v>
      </c>
      <c r="AH20">
        <v>41</v>
      </c>
      <c r="AI20">
        <v>36</v>
      </c>
      <c r="AJ20">
        <v>47</v>
      </c>
      <c r="AK20">
        <v>40</v>
      </c>
      <c r="AL20">
        <v>35</v>
      </c>
      <c r="AM20">
        <v>46</v>
      </c>
      <c r="AN20">
        <v>40</v>
      </c>
      <c r="AO20">
        <v>35</v>
      </c>
      <c r="AQ20">
        <v>7</v>
      </c>
      <c r="AR20">
        <v>51</v>
      </c>
      <c r="AS20">
        <v>42</v>
      </c>
      <c r="AT20">
        <v>36</v>
      </c>
      <c r="AU20">
        <v>50</v>
      </c>
      <c r="AV20">
        <v>42</v>
      </c>
      <c r="AW20">
        <v>36</v>
      </c>
      <c r="AX20">
        <v>49</v>
      </c>
      <c r="AY20">
        <v>41</v>
      </c>
      <c r="AZ20">
        <v>36</v>
      </c>
      <c r="BA20">
        <v>47</v>
      </c>
      <c r="BB20">
        <v>41</v>
      </c>
      <c r="BC20">
        <v>35</v>
      </c>
      <c r="BD20">
        <v>46</v>
      </c>
      <c r="BE20">
        <v>40</v>
      </c>
      <c r="BF20">
        <v>35</v>
      </c>
      <c r="BH20">
        <v>7</v>
      </c>
      <c r="BI20">
        <v>52</v>
      </c>
      <c r="BJ20">
        <v>43</v>
      </c>
      <c r="BK20">
        <v>37</v>
      </c>
      <c r="BL20">
        <v>51</v>
      </c>
      <c r="BM20">
        <v>42</v>
      </c>
      <c r="BN20">
        <v>36</v>
      </c>
      <c r="BO20">
        <v>49</v>
      </c>
      <c r="BP20">
        <v>42</v>
      </c>
      <c r="BQ20">
        <v>36</v>
      </c>
      <c r="BR20">
        <v>48</v>
      </c>
      <c r="BS20">
        <v>41</v>
      </c>
      <c r="BT20">
        <v>36</v>
      </c>
      <c r="BU20">
        <v>46</v>
      </c>
      <c r="BV20">
        <v>40</v>
      </c>
      <c r="BW20">
        <v>36</v>
      </c>
      <c r="BY20">
        <v>7</v>
      </c>
      <c r="CP20">
        <v>7</v>
      </c>
    </row>
    <row r="21" spans="1:114" x14ac:dyDescent="0.25">
      <c r="A21" s="2" t="s">
        <v>112</v>
      </c>
      <c r="B21" t="s">
        <v>107</v>
      </c>
      <c r="C21" s="22"/>
      <c r="E21" s="12">
        <f>IF(ISNUMBER(SEARCH("2",C21)),2,4)</f>
        <v>4</v>
      </c>
      <c r="F21" s="12" t="str">
        <f>IF(ISNUMBER(SEARCH("FR",C21)),"Yes","No")</f>
        <v>No</v>
      </c>
      <c r="I21">
        <v>8</v>
      </c>
      <c r="J21">
        <v>46</v>
      </c>
      <c r="K21">
        <v>38</v>
      </c>
      <c r="L21">
        <v>32</v>
      </c>
      <c r="M21">
        <v>46</v>
      </c>
      <c r="N21">
        <v>38</v>
      </c>
      <c r="O21">
        <v>32</v>
      </c>
      <c r="P21">
        <v>44</v>
      </c>
      <c r="Q21">
        <v>37</v>
      </c>
      <c r="R21">
        <v>32</v>
      </c>
      <c r="S21">
        <v>43</v>
      </c>
      <c r="T21">
        <v>36</v>
      </c>
      <c r="U21">
        <v>31</v>
      </c>
      <c r="V21">
        <v>42</v>
      </c>
      <c r="W21">
        <v>36</v>
      </c>
      <c r="X21">
        <v>31</v>
      </c>
      <c r="Z21">
        <v>8</v>
      </c>
      <c r="AA21">
        <v>47</v>
      </c>
      <c r="AB21">
        <v>38</v>
      </c>
      <c r="AC21">
        <v>32</v>
      </c>
      <c r="AD21">
        <v>46</v>
      </c>
      <c r="AE21">
        <v>38</v>
      </c>
      <c r="AF21">
        <v>32</v>
      </c>
      <c r="AG21">
        <v>45</v>
      </c>
      <c r="AH21">
        <v>37</v>
      </c>
      <c r="AI21">
        <v>32</v>
      </c>
      <c r="AJ21">
        <v>43</v>
      </c>
      <c r="AK21">
        <v>37</v>
      </c>
      <c r="AL21">
        <v>32</v>
      </c>
      <c r="AM21">
        <v>42</v>
      </c>
      <c r="AN21">
        <v>36</v>
      </c>
      <c r="AO21">
        <v>31</v>
      </c>
      <c r="AQ21">
        <v>8</v>
      </c>
      <c r="AR21">
        <v>47</v>
      </c>
      <c r="AS21">
        <v>38</v>
      </c>
      <c r="AT21">
        <v>32</v>
      </c>
      <c r="AU21">
        <v>46</v>
      </c>
      <c r="AV21">
        <v>38</v>
      </c>
      <c r="AW21">
        <v>32</v>
      </c>
      <c r="AX21">
        <v>45</v>
      </c>
      <c r="AY21">
        <v>37</v>
      </c>
      <c r="AZ21">
        <v>32</v>
      </c>
      <c r="BA21">
        <v>43</v>
      </c>
      <c r="BB21">
        <v>37</v>
      </c>
      <c r="BC21">
        <v>32</v>
      </c>
      <c r="BD21">
        <v>42</v>
      </c>
      <c r="BE21">
        <v>36</v>
      </c>
      <c r="BF21">
        <v>31</v>
      </c>
      <c r="BH21">
        <v>8</v>
      </c>
      <c r="BI21">
        <v>47</v>
      </c>
      <c r="BJ21">
        <v>39</v>
      </c>
      <c r="BK21">
        <v>33</v>
      </c>
      <c r="BL21">
        <v>46</v>
      </c>
      <c r="BM21">
        <v>38</v>
      </c>
      <c r="BN21">
        <v>33</v>
      </c>
      <c r="BO21">
        <v>45</v>
      </c>
      <c r="BP21">
        <v>38</v>
      </c>
      <c r="BQ21">
        <v>32</v>
      </c>
      <c r="BR21">
        <v>44</v>
      </c>
      <c r="BS21">
        <v>37</v>
      </c>
      <c r="BT21">
        <v>32</v>
      </c>
      <c r="BU21">
        <v>43</v>
      </c>
      <c r="BV21">
        <v>36</v>
      </c>
      <c r="BW21">
        <v>32</v>
      </c>
      <c r="BY21">
        <v>8</v>
      </c>
      <c r="CP21">
        <v>8</v>
      </c>
    </row>
    <row r="22" spans="1:114" x14ac:dyDescent="0.25">
      <c r="B22" t="s">
        <v>30</v>
      </c>
      <c r="C22" s="4" t="e">
        <f>VLOOKUP(C21,Model5136146156229[],2,0)</f>
        <v>#N/A</v>
      </c>
      <c r="D22" t="s">
        <v>131</v>
      </c>
      <c r="I22">
        <v>9</v>
      </c>
      <c r="J22">
        <v>43</v>
      </c>
      <c r="K22">
        <v>34</v>
      </c>
      <c r="L22">
        <v>29</v>
      </c>
      <c r="M22">
        <v>42</v>
      </c>
      <c r="N22">
        <v>34</v>
      </c>
      <c r="O22">
        <v>29</v>
      </c>
      <c r="P22">
        <v>41</v>
      </c>
      <c r="Q22">
        <v>34</v>
      </c>
      <c r="R22">
        <v>28</v>
      </c>
      <c r="S22">
        <v>40</v>
      </c>
      <c r="T22">
        <v>33</v>
      </c>
      <c r="U22">
        <v>28</v>
      </c>
      <c r="V22">
        <v>39</v>
      </c>
      <c r="W22">
        <v>33</v>
      </c>
      <c r="X22">
        <v>28</v>
      </c>
      <c r="Z22">
        <v>9</v>
      </c>
      <c r="AA22">
        <v>43</v>
      </c>
      <c r="AB22">
        <v>34</v>
      </c>
      <c r="AC22">
        <v>29</v>
      </c>
      <c r="AD22">
        <v>42</v>
      </c>
      <c r="AE22">
        <v>34</v>
      </c>
      <c r="AF22">
        <v>29</v>
      </c>
      <c r="AG22">
        <v>41</v>
      </c>
      <c r="AH22">
        <v>34</v>
      </c>
      <c r="AI22">
        <v>29</v>
      </c>
      <c r="AJ22">
        <v>40</v>
      </c>
      <c r="AK22">
        <v>33</v>
      </c>
      <c r="AL22">
        <v>28</v>
      </c>
      <c r="AM22">
        <v>39</v>
      </c>
      <c r="AN22">
        <v>33</v>
      </c>
      <c r="AO22">
        <v>28</v>
      </c>
      <c r="AQ22">
        <v>9</v>
      </c>
      <c r="AR22">
        <v>43</v>
      </c>
      <c r="AS22">
        <v>35</v>
      </c>
      <c r="AT22">
        <v>29</v>
      </c>
      <c r="AU22">
        <v>42</v>
      </c>
      <c r="AV22">
        <v>34</v>
      </c>
      <c r="AW22">
        <v>29</v>
      </c>
      <c r="AX22">
        <v>41</v>
      </c>
      <c r="AY22">
        <v>34</v>
      </c>
      <c r="AZ22">
        <v>29</v>
      </c>
      <c r="BA22">
        <v>40</v>
      </c>
      <c r="BB22">
        <v>33</v>
      </c>
      <c r="BC22">
        <v>29</v>
      </c>
      <c r="BD22">
        <v>39</v>
      </c>
      <c r="BE22">
        <v>33</v>
      </c>
      <c r="BF22">
        <v>28</v>
      </c>
      <c r="BH22">
        <v>9</v>
      </c>
      <c r="BI22">
        <v>43</v>
      </c>
      <c r="BJ22">
        <v>35</v>
      </c>
      <c r="BK22">
        <v>29</v>
      </c>
      <c r="BL22">
        <v>43</v>
      </c>
      <c r="BM22">
        <v>35</v>
      </c>
      <c r="BN22">
        <v>29</v>
      </c>
      <c r="BO22">
        <v>41</v>
      </c>
      <c r="BP22">
        <v>34</v>
      </c>
      <c r="BQ22">
        <v>29</v>
      </c>
      <c r="BR22">
        <v>40</v>
      </c>
      <c r="BS22">
        <v>34</v>
      </c>
      <c r="BT22">
        <v>29</v>
      </c>
      <c r="BU22">
        <v>39</v>
      </c>
      <c r="BV22">
        <v>33</v>
      </c>
      <c r="BW22">
        <v>29</v>
      </c>
      <c r="BY22">
        <v>9</v>
      </c>
      <c r="CP22">
        <v>9</v>
      </c>
    </row>
    <row r="23" spans="1:114" x14ac:dyDescent="0.25">
      <c r="B23" t="s">
        <v>31</v>
      </c>
      <c r="C23" t="e">
        <f>VLOOKUP(C21,Model5136146156229[],3,FALSE)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39</v>
      </c>
      <c r="N23">
        <v>31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30</v>
      </c>
      <c r="U23">
        <v>26</v>
      </c>
      <c r="V23">
        <v>36</v>
      </c>
      <c r="W23">
        <v>30</v>
      </c>
      <c r="X23">
        <v>26</v>
      </c>
      <c r="Z23">
        <v>10</v>
      </c>
      <c r="AA23">
        <v>39</v>
      </c>
      <c r="AB23">
        <v>31</v>
      </c>
      <c r="AC23">
        <v>26</v>
      </c>
      <c r="AD23">
        <v>39</v>
      </c>
      <c r="AE23">
        <v>31</v>
      </c>
      <c r="AF23">
        <v>26</v>
      </c>
      <c r="AG23">
        <v>38</v>
      </c>
      <c r="AH23">
        <v>31</v>
      </c>
      <c r="AI23">
        <v>26</v>
      </c>
      <c r="AJ23">
        <v>37</v>
      </c>
      <c r="AK23">
        <v>30</v>
      </c>
      <c r="AL23">
        <v>26</v>
      </c>
      <c r="AM23">
        <v>36</v>
      </c>
      <c r="AN23">
        <v>30</v>
      </c>
      <c r="AO23">
        <v>26</v>
      </c>
      <c r="AQ23">
        <v>10</v>
      </c>
      <c r="AR23">
        <v>40</v>
      </c>
      <c r="AS23">
        <v>32</v>
      </c>
      <c r="AT23">
        <v>26</v>
      </c>
      <c r="AU23">
        <v>39</v>
      </c>
      <c r="AV23">
        <v>31</v>
      </c>
      <c r="AW23">
        <v>26</v>
      </c>
      <c r="AX23">
        <v>38</v>
      </c>
      <c r="AY23">
        <v>31</v>
      </c>
      <c r="AZ23">
        <v>26</v>
      </c>
      <c r="BA23">
        <v>37</v>
      </c>
      <c r="BB23">
        <v>31</v>
      </c>
      <c r="BC23">
        <v>26</v>
      </c>
      <c r="BD23">
        <v>36</v>
      </c>
      <c r="BE23">
        <v>30</v>
      </c>
      <c r="BF23">
        <v>26</v>
      </c>
      <c r="BH23">
        <v>10</v>
      </c>
      <c r="BI23">
        <v>40</v>
      </c>
      <c r="BJ23">
        <v>32</v>
      </c>
      <c r="BK23">
        <v>27</v>
      </c>
      <c r="BL23">
        <v>39</v>
      </c>
      <c r="BM23">
        <v>32</v>
      </c>
      <c r="BN23">
        <v>27</v>
      </c>
      <c r="BO23">
        <v>38</v>
      </c>
      <c r="BP23">
        <v>31</v>
      </c>
      <c r="BQ23">
        <v>27</v>
      </c>
      <c r="BR23">
        <v>37</v>
      </c>
      <c r="BS23">
        <v>31</v>
      </c>
      <c r="BT23">
        <v>26</v>
      </c>
      <c r="BU23">
        <v>36</v>
      </c>
      <c r="BV23">
        <v>31</v>
      </c>
      <c r="BW23">
        <v>26</v>
      </c>
      <c r="BY23">
        <v>10</v>
      </c>
      <c r="CP23">
        <v>10</v>
      </c>
    </row>
    <row r="24" spans="1:114" x14ac:dyDescent="0.25">
      <c r="B24" t="s">
        <v>3</v>
      </c>
      <c r="C24" s="11" t="e">
        <f t="array" ref="C24">INDEX(CUtable4135145155228[],MATCH(1,(CUtable4135145155228[RC]=C17)*(CUtable4135145155228[RW]=C18)*(CUtable4135145155228[Lens]=F21)*(CUtable4135145155228[Size]=E21),0),5)</f>
        <v>#DIV/0!</v>
      </c>
      <c r="H24" s="5"/>
    </row>
    <row r="25" spans="1:114" x14ac:dyDescent="0.25">
      <c r="B25" t="s">
        <v>133</v>
      </c>
      <c r="C25" s="11">
        <f t="array" ref="C25">INDEX(Table81217140150160233[],MATCH(1,(Table81217140150160233[Size]=E21)*(Table81217140150160233[Lens]=F21),0),3)</f>
        <v>1.3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  <c r="BH25" t="s">
        <v>217</v>
      </c>
      <c r="BI25" t="e">
        <f>(BI26*BI30^3)+(BI27*BI30^2)+(BI28*BI30)+BI29</f>
        <v>#DIV/0!</v>
      </c>
      <c r="BJ25" t="e">
        <f>(BJ26*BJ30^3)+(BJ27*BJ30^2)+(BJ28*BJ30)+BJ29</f>
        <v>#DIV/0!</v>
      </c>
      <c r="BK25" t="e">
        <f>(BK26*BK30^3)+(BK27*BK30^2)+(BK28*BK30)+BK29</f>
        <v>#DIV/0!</v>
      </c>
      <c r="BL25" t="e">
        <f t="shared" ref="BL25:BW25" si="3">(BL26*BL30^3)+(BL27*BL30^2)+(BL28*BL30)+BL29</f>
        <v>#DIV/0!</v>
      </c>
      <c r="BM25" t="e">
        <f t="shared" si="3"/>
        <v>#DIV/0!</v>
      </c>
      <c r="BN25" t="e">
        <f t="shared" si="3"/>
        <v>#DIV/0!</v>
      </c>
      <c r="BO25" t="e">
        <f t="shared" si="3"/>
        <v>#DIV/0!</v>
      </c>
      <c r="BP25" t="e">
        <f t="shared" si="3"/>
        <v>#DIV/0!</v>
      </c>
      <c r="BQ25" t="e">
        <f t="shared" si="3"/>
        <v>#DIV/0!</v>
      </c>
      <c r="BR25" t="e">
        <f t="shared" si="3"/>
        <v>#DIV/0!</v>
      </c>
      <c r="BS25" t="e">
        <f t="shared" si="3"/>
        <v>#DIV/0!</v>
      </c>
      <c r="BT25" t="e">
        <f t="shared" si="3"/>
        <v>#DIV/0!</v>
      </c>
      <c r="BU25" t="e">
        <f t="shared" si="3"/>
        <v>#DIV/0!</v>
      </c>
      <c r="BV25" t="e">
        <f t="shared" si="3"/>
        <v>#DIV/0!</v>
      </c>
      <c r="BW25" t="e">
        <f t="shared" si="3"/>
        <v>#DIV/0!</v>
      </c>
      <c r="BY25" t="s">
        <v>217</v>
      </c>
      <c r="BZ25" t="e">
        <f t="shared" ref="BZ25:CN25" si="4">(BZ26*BZ30^3)+(BZ27*BZ30^2)+(BZ28*BZ30)+BZ29</f>
        <v>#VALUE!</v>
      </c>
      <c r="CA25" t="e">
        <f t="shared" si="4"/>
        <v>#VALUE!</v>
      </c>
      <c r="CB25" t="e">
        <f t="shared" si="4"/>
        <v>#VALUE!</v>
      </c>
      <c r="CC25" t="e">
        <f t="shared" si="4"/>
        <v>#VALUE!</v>
      </c>
      <c r="CD25" t="e">
        <f t="shared" si="4"/>
        <v>#VALUE!</v>
      </c>
      <c r="CE25" t="e">
        <f t="shared" si="4"/>
        <v>#VALUE!</v>
      </c>
      <c r="CF25" t="e">
        <f t="shared" si="4"/>
        <v>#VALUE!</v>
      </c>
      <c r="CG25" t="e">
        <f t="shared" si="4"/>
        <v>#VALUE!</v>
      </c>
      <c r="CH25" t="e">
        <f t="shared" si="4"/>
        <v>#VALUE!</v>
      </c>
      <c r="CI25" t="e">
        <f t="shared" si="4"/>
        <v>#VALUE!</v>
      </c>
      <c r="CJ25" t="e">
        <f t="shared" si="4"/>
        <v>#VALUE!</v>
      </c>
      <c r="CK25" t="e">
        <f t="shared" si="4"/>
        <v>#VALUE!</v>
      </c>
      <c r="CL25" t="e">
        <f t="shared" si="4"/>
        <v>#VALUE!</v>
      </c>
      <c r="CM25" t="e">
        <f t="shared" si="4"/>
        <v>#VALUE!</v>
      </c>
      <c r="CN25" t="e">
        <f t="shared" si="4"/>
        <v>#VALUE!</v>
      </c>
      <c r="CP25" t="s">
        <v>217</v>
      </c>
      <c r="CQ25" t="e">
        <f t="shared" ref="CQ25:DE25" si="5">(CQ26*CQ30^3)+(CQ27*CQ30^2)+(CQ28*CQ30)+CQ29</f>
        <v>#VALUE!</v>
      </c>
      <c r="CR25" t="e">
        <f t="shared" si="5"/>
        <v>#VALUE!</v>
      </c>
      <c r="CS25" t="e">
        <f t="shared" si="5"/>
        <v>#VALUE!</v>
      </c>
      <c r="CT25" t="e">
        <f t="shared" si="5"/>
        <v>#VALUE!</v>
      </c>
      <c r="CU25" t="e">
        <f t="shared" si="5"/>
        <v>#VALUE!</v>
      </c>
      <c r="CV25" t="e">
        <f t="shared" si="5"/>
        <v>#VALUE!</v>
      </c>
      <c r="CW25" t="e">
        <f t="shared" si="5"/>
        <v>#VALUE!</v>
      </c>
      <c r="CX25" t="e">
        <f t="shared" si="5"/>
        <v>#VALUE!</v>
      </c>
      <c r="CY25" t="e">
        <f t="shared" si="5"/>
        <v>#VALUE!</v>
      </c>
      <c r="CZ25" t="e">
        <f t="shared" si="5"/>
        <v>#VALUE!</v>
      </c>
      <c r="DA25" t="e">
        <f t="shared" si="5"/>
        <v>#VALUE!</v>
      </c>
      <c r="DB25" t="e">
        <f t="shared" si="5"/>
        <v>#VALUE!</v>
      </c>
      <c r="DC25" t="e">
        <f t="shared" si="5"/>
        <v>#VALUE!</v>
      </c>
      <c r="DD25" t="e">
        <f t="shared" si="5"/>
        <v>#VALUE!</v>
      </c>
      <c r="DE25" t="e">
        <f t="shared" si="5"/>
        <v>#VALUE!</v>
      </c>
    </row>
    <row r="26" spans="1:114" x14ac:dyDescent="0.25">
      <c r="B26" t="s">
        <v>134</v>
      </c>
      <c r="C26" s="11">
        <f t="array" ref="C26">INDEX(Table81217140150160233[],MATCH(1,(Table81217140150160233[Size]=E21)*(Table81217140150160233[Lens]=F21),0),4)</f>
        <v>1.28</v>
      </c>
      <c r="H26" s="5"/>
      <c r="I26" t="s">
        <v>218</v>
      </c>
      <c r="J26">
        <f>INDEX(LINEST(Table2x4134144154227[CU],Table2x4134144154227[RCR]^{1,2,3}),1)</f>
        <v>-3.9627039627039978E-2</v>
      </c>
      <c r="K26">
        <f>INDEX(LINEST(Table2x4134144154227[CU1],Table2x4134144154227[RCR]^{1,2,3}),1)</f>
        <v>-7.1678321678322304E-2</v>
      </c>
      <c r="L26">
        <f>INDEX(LINEST(Table2x4134144154227[CU2],Table2x4134144154227[RCR]^{1,2,3}),1)</f>
        <v>-9.9650349650349981E-2</v>
      </c>
      <c r="M26">
        <f>INDEX(LINEST(Table2x4134144154227[CU3],Table2x4134144154227[RCR]^{1,2,3}),1)</f>
        <v>-3.1857031857032189E-2</v>
      </c>
      <c r="N26">
        <f>INDEX(LINEST(Table2x4134144154227[CU4],Table2x4134144154227[RCR]^{1,2,3}),1)</f>
        <v>-6.5268065268065459E-2</v>
      </c>
      <c r="O26">
        <f>INDEX(LINEST(Table2x4134144154227[CU5],Table2x4134144154227[RCR]^{1,2,3}),1)</f>
        <v>-9.4794094794094882E-2</v>
      </c>
      <c r="P26">
        <f>INDEX(LINEST(Table2x4134144154227[CU6],Table2x4134144154227[RCR]^{1,2,3}),1)</f>
        <v>-3.4965034965035495E-2</v>
      </c>
      <c r="Q26">
        <f>INDEX(LINEST(Table2x4134144154227[CU7],Table2x4134144154227[RCR]^{1,2,3}),1)</f>
        <v>-5.5361305361305915E-2</v>
      </c>
      <c r="R26">
        <f>INDEX(LINEST(Table2x4134144154227[CU8],Table2x4134144154227[RCR]^{1,2,3}),1)</f>
        <v>-7.381507381507417E-2</v>
      </c>
      <c r="S26">
        <f>INDEX(LINEST(Table2x4134144154227[CU9],Table2x4134144154227[RCR]^{1,2,3}),1)</f>
        <v>-2.8166278166278438E-2</v>
      </c>
      <c r="T26">
        <f>INDEX(LINEST(Table2x4134144154227[CU10],Table2x4134144154227[RCR]^{1,2,3}),1)</f>
        <v>-3.9821289821290115E-2</v>
      </c>
      <c r="U26">
        <f>INDEX(LINEST(Table2x4134144154227[CU11],Table2x4134144154227[RCR]^{1,2,3}),1)</f>
        <v>-5.5361305361305777E-2</v>
      </c>
      <c r="V26">
        <f>INDEX(LINEST(Table2x4134144154227[CU12],Table2x4134144154227[RCR]^{1,2,3}),1)</f>
        <v>-2.7195027195027418E-2</v>
      </c>
      <c r="W26">
        <f>INDEX(LINEST(Table2x4134144154227[CU13],Table2x4134144154227[RCR]^{1,2,3}),1)</f>
        <v>-4.4483294483294744E-2</v>
      </c>
      <c r="X26">
        <f>INDEX(LINEST(Table2x4134144154227[CU14],Table2x4134144154227[RCR]^{1,2,3}),1)</f>
        <v>-4.8562548562549032E-2</v>
      </c>
      <c r="Z26" t="s">
        <v>218</v>
      </c>
      <c r="AA26">
        <f>INDEX(LINEST(Table2x2141151161234[CU],Table2x2141151161234[RCR]^{1,2,3}),1)</f>
        <v>-3.9432789432789529E-2</v>
      </c>
      <c r="AB26">
        <f>INDEX(LINEST(Table2x2141151161234[CU1],Table2x2141151161234[RCR]^{1,2,3}),1)</f>
        <v>-6.8958818958819432E-2</v>
      </c>
      <c r="AC26">
        <f>INDEX(LINEST(Table2x2141151161234[CU2],Table2x2141151161234[RCR]^{1,2,3}),1)</f>
        <v>-9.9650349650349981E-2</v>
      </c>
      <c r="AD26">
        <f>INDEX(LINEST(Table2x2141151161234[CU3],Table2x2141151161234[RCR]^{1,2,3}),1)</f>
        <v>-3.1857031857032189E-2</v>
      </c>
      <c r="AE26">
        <f>INDEX(LINEST(Table2x2141151161234[CU4],Table2x2141151161234[RCR]^{1,2,3}),1)</f>
        <v>-6.5268065268065459E-2</v>
      </c>
      <c r="AF26">
        <f>INDEX(LINEST(Table2x2141151161234[CU5],Table2x2141151161234[RCR]^{1,2,3}),1)</f>
        <v>-9.4794094794094882E-2</v>
      </c>
      <c r="AG26">
        <f>INDEX(LINEST(Table2x2141151161234[CU6],Table2x2141151161234[RCR]^{1,2,3}),1)</f>
        <v>-3.6519036519036645E-2</v>
      </c>
      <c r="AH26">
        <f>INDEX(LINEST(Table2x2141151161234[CU7],Table2x2141151161234[RCR]^{1,2,3}),1)</f>
        <v>-5.0893550893550958E-2</v>
      </c>
      <c r="AI26">
        <f>INDEX(LINEST(Table2x2141151161234[CU8],Table2x2141151161234[RCR]^{1,2,3}),1)</f>
        <v>-7.5174825174825446E-2</v>
      </c>
      <c r="AJ26">
        <f>INDEX(LINEST(Table2x2141151161234[CU9],Table2x2141151161234[RCR]^{1,2,3}),1)</f>
        <v>-2.8166278166278393E-2</v>
      </c>
      <c r="AK26">
        <f>INDEX(LINEST(Table2x2141151161234[CU10],Table2x2141151161234[RCR]^{1,2,3}),1)</f>
        <v>-4.4094794094794346E-2</v>
      </c>
      <c r="AL26">
        <f>INDEX(LINEST(Table2x2141151161234[CU11],Table2x2141151161234[RCR]^{1,2,3}),1)</f>
        <v>-5.9634809634809757E-2</v>
      </c>
      <c r="AM26">
        <f>INDEX(LINEST(Table2x2141151161234[CU12],Table2x2141151161234[RCR]^{1,2,3}),1)</f>
        <v>-2.7195027195027418E-2</v>
      </c>
      <c r="AN26">
        <f>INDEX(LINEST(Table2x2141151161234[CU13],Table2x2141151161234[RCR]^{1,2,3}),1)</f>
        <v>-4.1763791763791913E-2</v>
      </c>
      <c r="AO26">
        <f>INDEX(LINEST(Table2x2141151161234[CU14],Table2x2141151161234[RCR]^{1,2,3}),1)</f>
        <v>-5.1282051282051488E-2</v>
      </c>
      <c r="AQ26" t="s">
        <v>218</v>
      </c>
      <c r="AR26">
        <f>INDEX(LINEST(Table1x4143153163236[CU],Table1x4143153163236[RCR]^{1,2,3}),1)</f>
        <v>-4.2346542346542997E-2</v>
      </c>
      <c r="AS26">
        <f>INDEX(LINEST(Table1x4143153163236[CU1],Table1x4143153163236[RCR]^{1,2,3}),1)</f>
        <v>-7.2455322455322935E-2</v>
      </c>
      <c r="AT26">
        <f>INDEX(LINEST(Table1x4143153163236[CU2],Table1x4143153163236[RCR]^{1,2,3}),1)</f>
        <v>-0.1041181041181045</v>
      </c>
      <c r="AU26">
        <f>INDEX(LINEST(Table1x4143153163236[CU3],Table1x4143153163236[RCR]^{1,2,3}),1)</f>
        <v>-3.7296037296037643E-2</v>
      </c>
      <c r="AV26">
        <f>INDEX(LINEST(Table1x4143153163236[CU4],Table1x4143153163236[RCR]^{1,2,3}),1)</f>
        <v>-6.9541569541569759E-2</v>
      </c>
      <c r="AW26">
        <f>INDEX(LINEST(Table1x4143153163236[CU5],Table1x4143153163236[RCR]^{1,2,3}),1)</f>
        <v>-9.5959595959596231E-2</v>
      </c>
      <c r="AX26">
        <f>INDEX(LINEST(Table1x4143153163236[CU6],Table1x4143153163236[RCR]^{1,2,3}),1)</f>
        <v>-4.0404040404040699E-2</v>
      </c>
      <c r="AY26">
        <f>INDEX(LINEST(Table1x4143153163236[CU7],Table1x4143153163236[RCR]^{1,2,3}),1)</f>
        <v>-5.6526806526806667E-2</v>
      </c>
      <c r="AZ26">
        <f>INDEX(LINEST(Table1x4143153163236[CU8],Table1x4143153163236[RCR]^{1,2,3}),1)</f>
        <v>-8.3333333333333662E-2</v>
      </c>
      <c r="BA26">
        <f>INDEX(LINEST(Table1x4143153163236[CU9],Table1x4143153163236[RCR]^{1,2,3}),1)</f>
        <v>-2.9331779331779547E-2</v>
      </c>
      <c r="BB26">
        <f>INDEX(LINEST(Table1x4143153163236[CU10],Table1x4143153163236[RCR]^{1,2,3}),1)</f>
        <v>-5.1476301476301806E-2</v>
      </c>
      <c r="BC26">
        <f>INDEX(LINEST(Table1x4143153163236[CU11],Table1x4143153163236[RCR]^{1,2,3}),1)</f>
        <v>-6.6239316239316712E-2</v>
      </c>
      <c r="BD26">
        <f>INDEX(LINEST(Table1x4143153163236[CU12],Table1x4143153163236[RCR]^{1,2,3}),1)</f>
        <v>-3.1662781662781782E-2</v>
      </c>
      <c r="BE26">
        <f>INDEX(LINEST(Table1x4143153163236[CU13],Table1x4143153163236[RCR]^{1,2,3}),1)</f>
        <v>-4.4483294483294744E-2</v>
      </c>
      <c r="BF26">
        <f>INDEX(LINEST(Table1x4143153163236[CU14],Table1x4143153163236[RCR]^{1,2,3}),1)</f>
        <v>-5.1282051282051488E-2</v>
      </c>
      <c r="BH26" t="s">
        <v>218</v>
      </c>
      <c r="BI26">
        <f>INDEX(LINEST(Table2x4134144154164237[CU],Table2x4134144154164237[RCR]^{1,2,3}),1)</f>
        <v>-3.8073038073038301E-2</v>
      </c>
      <c r="BJ26">
        <f>INDEX(LINEST(Table2x4134144154164237[CU1],Table2x4134144154164237[RCR]^{1,2,3}),1)</f>
        <v>-7.575757575757619E-2</v>
      </c>
      <c r="BK26">
        <f>INDEX(LINEST(Table2x4134144154164237[CU2],Table2x4134144154164237[RCR]^{1,2,3}),1)</f>
        <v>-0.10256410256410307</v>
      </c>
      <c r="BL26">
        <f>INDEX(LINEST(Table2x4134144154164237[CU3],Table2x4134144154164237[RCR]^{1,2,3}),1)</f>
        <v>-4.0209790209790729E-2</v>
      </c>
      <c r="BM26">
        <f>INDEX(LINEST(Table2x4134144154164237[CU4],Table2x4134144154164237[RCR]^{1,2,3}),1)</f>
        <v>-6.4879564879565296E-2</v>
      </c>
      <c r="BN26">
        <f>INDEX(LINEST(Table2x4134144154164237[CU5],Table2x4134144154164237[RCR]^{1,2,3}),1)</f>
        <v>-9.1686091686092167E-2</v>
      </c>
      <c r="BO26">
        <f>INDEX(LINEST(Table2x4134144154164237[CU6],Table2x4134144154164237[RCR]^{1,2,3}),1)</f>
        <v>-3.768453768453809E-2</v>
      </c>
      <c r="BP26">
        <f>INDEX(LINEST(Table2x4134144154164237[CU7],Table2x4134144154164237[RCR]^{1,2,3}),1)</f>
        <v>-6.5268065268065542E-2</v>
      </c>
      <c r="BQ26">
        <f>INDEX(LINEST(Table2x4134144154164237[CU8],Table2x4134144154164237[RCR]^{1,2,3}),1)</f>
        <v>-7.7505827505827629E-2</v>
      </c>
      <c r="BR26">
        <f>INDEX(LINEST(Table2x4134144154164237[CU9],Table2x4134144154164237[RCR]^{1,2,3}),1)</f>
        <v>-3.8073038073038322E-2</v>
      </c>
      <c r="BS26">
        <f>INDEX(LINEST(Table2x4134144154164237[CU10],Table2x4134144154164237[RCR]^{1,2,3}),1)</f>
        <v>-5.0893550893551145E-2</v>
      </c>
      <c r="BT26">
        <f>INDEX(LINEST(Table2x4134144154164237[CU11],Table2x4134144154164237[RCR]^{1,2,3}),1)</f>
        <v>-6.6433566433566807E-2</v>
      </c>
      <c r="BU26">
        <f>INDEX(LINEST(Table2x4134144154164237[CU12],Table2x4134144154164237[RCR]^{1,2,3}),1)</f>
        <v>-3.418803418803433E-2</v>
      </c>
      <c r="BV26">
        <f>INDEX(LINEST(Table2x4134144154164237[CU13],Table2x4134144154164237[RCR]^{1,2,3}),1)</f>
        <v>-3.8655788655788871E-2</v>
      </c>
      <c r="BW26">
        <f>INDEX(LINEST(Table2x4134144154164237[CU14],Table2x4134144154164237[RCR]^{1,2,3}),1)</f>
        <v>-6.1188811188811525E-2</v>
      </c>
      <c r="BY26" t="s">
        <v>218</v>
      </c>
      <c r="BZ26" t="e">
        <f>INDEX(LINEST(Table2x4134144154165238[CU],Table2x4134144154165238[RCR]^{1,2,3}),1)</f>
        <v>#VALUE!</v>
      </c>
      <c r="CA26" t="e">
        <f>INDEX(LINEST(Table2x4134144154165238[CU1],Table2x4134144154165238[RCR]^{1,2,3}),1)</f>
        <v>#VALUE!</v>
      </c>
      <c r="CB26" t="e">
        <f>INDEX(LINEST(Table2x4134144154165238[CU2],Table2x4134144154165238[RCR]^{1,2,3}),1)</f>
        <v>#VALUE!</v>
      </c>
      <c r="CC26" t="e">
        <f>INDEX(LINEST(Table2x4134144154165238[CU3],Table2x4134144154165238[RCR]^{1,2,3}),1)</f>
        <v>#VALUE!</v>
      </c>
      <c r="CD26" t="e">
        <f>INDEX(LINEST(Table2x4134144154165238[CU4],Table2x4134144154165238[RCR]^{1,2,3}),1)</f>
        <v>#VALUE!</v>
      </c>
      <c r="CE26" t="e">
        <f>INDEX(LINEST(Table2x4134144154165238[CU5],Table2x4134144154165238[RCR]^{1,2,3}),1)</f>
        <v>#VALUE!</v>
      </c>
      <c r="CF26" t="e">
        <f>INDEX(LINEST(Table2x4134144154165238[CU6],Table2x4134144154165238[RCR]^{1,2,3}),1)</f>
        <v>#VALUE!</v>
      </c>
      <c r="CG26" t="e">
        <f>INDEX(LINEST(Table2x4134144154165238[CU7],Table2x4134144154165238[RCR]^{1,2,3}),1)</f>
        <v>#VALUE!</v>
      </c>
      <c r="CH26" t="e">
        <f>INDEX(LINEST(Table2x4134144154165238[CU8],Table2x4134144154165238[RCR]^{1,2,3}),1)</f>
        <v>#VALUE!</v>
      </c>
      <c r="CI26" t="e">
        <f>INDEX(LINEST(Table2x4134144154165238[CU9],Table2x4134144154165238[RCR]^{1,2,3}),1)</f>
        <v>#VALUE!</v>
      </c>
      <c r="CJ26" t="e">
        <f>INDEX(LINEST(Table2x4134144154165238[CU10],Table2x4134144154165238[RCR]^{1,2,3}),1)</f>
        <v>#VALUE!</v>
      </c>
      <c r="CK26" t="e">
        <f>INDEX(LINEST(Table2x4134144154165238[CU11],Table2x4134144154165238[RCR]^{1,2,3}),1)</f>
        <v>#VALUE!</v>
      </c>
      <c r="CL26" t="e">
        <f>INDEX(LINEST(Table2x4134144154165238[CU12],Table2x4134144154165238[RCR]^{1,2,3}),1)</f>
        <v>#VALUE!</v>
      </c>
      <c r="CM26" t="e">
        <f>INDEX(LINEST(Table2x4134144154165238[CU13],Table2x4134144154165238[RCR]^{1,2,3}),1)</f>
        <v>#VALUE!</v>
      </c>
      <c r="CN26" t="e">
        <f>INDEX(LINEST(Table2x4134144154165238[CU14],Table2x4134144154165238[RCR]^{1,2,3}),1)</f>
        <v>#VALUE!</v>
      </c>
      <c r="CP26" t="s">
        <v>218</v>
      </c>
      <c r="CQ26" t="e">
        <f>INDEX(LINEST(Table2x4134144154166239[CU],Table2x4134144154166239[RCR]^{1,2,3}),1)</f>
        <v>#VALUE!</v>
      </c>
      <c r="CR26" t="e">
        <f>INDEX(LINEST(Table2x4134144154166239[CU1],Table2x4134144154166239[RCR]^{1,2,3}),1)</f>
        <v>#VALUE!</v>
      </c>
      <c r="CS26" t="e">
        <f>INDEX(LINEST(Table2x4134144154166239[CU2],Table2x4134144154166239[RCR]^{1,2,3}),1)</f>
        <v>#VALUE!</v>
      </c>
      <c r="CT26" t="e">
        <f>INDEX(LINEST(Table2x4134144154166239[CU3],Table2x4134144154166239[RCR]^{1,2,3}),1)</f>
        <v>#VALUE!</v>
      </c>
      <c r="CU26" t="e">
        <f>INDEX(LINEST(Table2x4134144154166239[CU4],Table2x4134144154166239[RCR]^{1,2,3}),1)</f>
        <v>#VALUE!</v>
      </c>
      <c r="CV26" t="e">
        <f>INDEX(LINEST(Table2x4134144154166239[CU5],Table2x4134144154166239[RCR]^{1,2,3}),1)</f>
        <v>#VALUE!</v>
      </c>
      <c r="CW26" t="e">
        <f>INDEX(LINEST(Table2x4134144154166239[CU6],Table2x4134144154166239[RCR]^{1,2,3}),1)</f>
        <v>#VALUE!</v>
      </c>
      <c r="CX26" t="e">
        <f>INDEX(LINEST(Table2x4134144154166239[CU7],Table2x4134144154166239[RCR]^{1,2,3}),1)</f>
        <v>#VALUE!</v>
      </c>
      <c r="CY26" t="e">
        <f>INDEX(LINEST(Table2x4134144154166239[CU8],Table2x4134144154166239[RCR]^{1,2,3}),1)</f>
        <v>#VALUE!</v>
      </c>
      <c r="CZ26" t="e">
        <f>INDEX(LINEST(Table2x4134144154166239[CU9],Table2x4134144154166239[RCR]^{1,2,3}),1)</f>
        <v>#VALUE!</v>
      </c>
      <c r="DA26" t="e">
        <f>INDEX(LINEST(Table2x4134144154166239[CU10],Table2x4134144154166239[RCR]^{1,2,3}),1)</f>
        <v>#VALUE!</v>
      </c>
      <c r="DB26" t="e">
        <f>INDEX(LINEST(Table2x4134144154166239[CU11],Table2x4134144154166239[RCR]^{1,2,3}),1)</f>
        <v>#VALUE!</v>
      </c>
      <c r="DC26" t="e">
        <f>INDEX(LINEST(Table2x4134144154166239[CU12],Table2x4134144154166239[RCR]^{1,2,3}),1)</f>
        <v>#VALUE!</v>
      </c>
      <c r="DD26" t="e">
        <f>INDEX(LINEST(Table2x4134144154166239[CU13],Table2x4134144154166239[RCR]^{1,2,3}),1)</f>
        <v>#VALUE!</v>
      </c>
      <c r="DE26" t="e">
        <f>INDEX(LINEST(Table2x4134144154166239[CU14],Table2x4134144154166239[RCR]^{1,2,3}),1)</f>
        <v>#VALUE!</v>
      </c>
    </row>
    <row r="27" spans="1:114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INDEX(LINEST(Table2x4134144154227[CU],Table2x4134144154227[RCR]^{1,2,3}),1,2)</f>
        <v>1.2599067599067642</v>
      </c>
      <c r="K27">
        <f>INDEX(LINEST(Table2x4134144154227[CU1],Table2x4134144154227[RCR]^{1,2,3}),1,2)</f>
        <v>1.939976689976699</v>
      </c>
      <c r="L27">
        <f>INDEX(LINEST(Table2x4134144154227[CU2],Table2x4134144154227[RCR]^{1,2,3}),1,2)</f>
        <v>2.514568764568768</v>
      </c>
      <c r="M27">
        <f>INDEX(LINEST(Table2x4134144154227[CU3],Table2x4134144154227[RCR]^{1,2,3}),1,2)</f>
        <v>1.1188811188811234</v>
      </c>
      <c r="N27">
        <f>INDEX(LINEST(Table2x4134144154227[CU4],Table2x4134144154227[RCR]^{1,2,3}),1,2)</f>
        <v>1.7972027972027989</v>
      </c>
      <c r="O27">
        <f>INDEX(LINEST(Table2x4134144154227[CU5],Table2x4134144154227[RCR]^{1,2,3}),1,2)</f>
        <v>2.4009324009324011</v>
      </c>
      <c r="P27">
        <f>INDEX(LINEST(Table2x4134144154227[CU6],Table2x4134144154227[RCR]^{1,2,3}),1,2)</f>
        <v>1.1375291375291454</v>
      </c>
      <c r="Q27">
        <f>INDEX(LINEST(Table2x4134144154227[CU7],Table2x4134144154227[RCR]^{1,2,3}),1,2)</f>
        <v>1.6089743589743675</v>
      </c>
      <c r="R27">
        <f>INDEX(LINEST(Table2x4134144154227[CU8],Table2x4134144154227[RCR]^{1,2,3}),1,2)</f>
        <v>2.009324009324013</v>
      </c>
      <c r="S27">
        <f>INDEX(LINEST(Table2x4134144154227[CU9],Table2x4134144154227[RCR]^{1,2,3}),1,2)</f>
        <v>1.0005827505827545</v>
      </c>
      <c r="T27">
        <f>INDEX(LINEST(Table2x4134144154227[CU10],Table2x4134144154227[RCR]^{1,2,3}),1,2)</f>
        <v>1.28613053613054</v>
      </c>
      <c r="U27">
        <f>INDEX(LINEST(Table2x4134144154227[CU11],Table2x4134144154227[RCR]^{1,2,3}),1,2)</f>
        <v>1.6439393939394</v>
      </c>
      <c r="V27">
        <f>INDEX(LINEST(Table2x4134144154227[CU12],Table2x4134144154227[RCR]^{1,2,3}),1,2)</f>
        <v>0.94289044289044588</v>
      </c>
      <c r="W27">
        <f>INDEX(LINEST(Table2x4134144154227[CU13],Table2x4134144154227[RCR]^{1,2,3}),1,2)</f>
        <v>1.3257575757575792</v>
      </c>
      <c r="X27">
        <f>INDEX(LINEST(Table2x4134144154227[CU14],Table2x4134144154227[RCR]^{1,2,3}),1,2)</f>
        <v>1.4930069930070002</v>
      </c>
      <c r="Z27" t="s">
        <v>219</v>
      </c>
      <c r="AA27">
        <f>INDEX(LINEST(Table2x2141151161234[CU],Table2x2141151161234[RCR]^{1,2,3}),1,2)</f>
        <v>1.2488344988344993</v>
      </c>
      <c r="AB27">
        <f>INDEX(LINEST(Table2x2141151161234[CU1],Table2x2141151161234[RCR]^{1,2,3}),1,2)</f>
        <v>1.8886946386946446</v>
      </c>
      <c r="AC27">
        <f>INDEX(LINEST(Table2x2141151161234[CU2],Table2x2141151161234[RCR]^{1,2,3}),1,2)</f>
        <v>2.514568764568768</v>
      </c>
      <c r="AD27">
        <f>INDEX(LINEST(Table2x2141151161234[CU3],Table2x2141151161234[RCR]^{1,2,3}),1,2)</f>
        <v>1.1188811188811234</v>
      </c>
      <c r="AE27">
        <f>INDEX(LINEST(Table2x2141151161234[CU4],Table2x2141151161234[RCR]^{1,2,3}),1,2)</f>
        <v>1.7972027972027989</v>
      </c>
      <c r="AF27">
        <f>INDEX(LINEST(Table2x2141151161234[CU5],Table2x2141151161234[RCR]^{1,2,3}),1,2)</f>
        <v>2.4009324009324011</v>
      </c>
      <c r="AG27">
        <f>INDEX(LINEST(Table2x2141151161234[CU6],Table2x2141151161234[RCR]^{1,2,3}),1,2)</f>
        <v>1.1375291375291385</v>
      </c>
      <c r="AH27">
        <f>INDEX(LINEST(Table2x2141151161234[CU7],Table2x2141151161234[RCR]^{1,2,3}),1,2)</f>
        <v>1.5349650349650348</v>
      </c>
      <c r="AI27">
        <f>INDEX(LINEST(Table2x2141151161234[CU8],Table2x2141151161234[RCR]^{1,2,3}),1,2)</f>
        <v>2.0285547785547822</v>
      </c>
      <c r="AJ27">
        <f>INDEX(LINEST(Table2x2141151161234[CU9],Table2x2141151161234[RCR]^{1,2,3}),1,2)</f>
        <v>0.98892773892774155</v>
      </c>
      <c r="AK27">
        <f>INDEX(LINEST(Table2x2141151161234[CU10],Table2x2141151161234[RCR]^{1,2,3}),1,2)</f>
        <v>1.3490675990676024</v>
      </c>
      <c r="AL27">
        <f>INDEX(LINEST(Table2x2141151161234[CU11],Table2x2141151161234[RCR]^{1,2,3}),1,2)</f>
        <v>1.7068764568764576</v>
      </c>
      <c r="AM27">
        <f>INDEX(LINEST(Table2x2141151161234[CU12],Table2x2141151161234[RCR]^{1,2,3}),1,2)</f>
        <v>0.94289044289044588</v>
      </c>
      <c r="AN27">
        <f>INDEX(LINEST(Table2x2141151161234[CU13],Table2x2141151161234[RCR]^{1,2,3}),1,2)</f>
        <v>1.2744755244755264</v>
      </c>
      <c r="AO27">
        <f>INDEX(LINEST(Table2x2141151161234[CU14],Table2x2141151161234[RCR]^{1,2,3}),1,2)</f>
        <v>1.5233100233100259</v>
      </c>
      <c r="AQ27" t="s">
        <v>219</v>
      </c>
      <c r="AR27">
        <f>INDEX(LINEST(Table1x4143153163236[CU],Table1x4143153163236[RCR]^{1,2,3}),1,2)</f>
        <v>1.3181818181818279</v>
      </c>
      <c r="AS27">
        <f>INDEX(LINEST(Table1x4143153163236[CU1],Table1x4143153163236[RCR]^{1,2,3}),1,2)</f>
        <v>1.9702797202797266</v>
      </c>
      <c r="AT27">
        <f>INDEX(LINEST(Table1x4143153163236[CU2],Table1x4143153163236[RCR]^{1,2,3}),1,2)</f>
        <v>2.5885780885780934</v>
      </c>
      <c r="AU27">
        <f>INDEX(LINEST(Table1x4143153163236[CU3],Table1x4143153163236[RCR]^{1,2,3}),1,2)</f>
        <v>1.1946386946386993</v>
      </c>
      <c r="AV27">
        <f>INDEX(LINEST(Table1x4143153163236[CU4],Table1x4143153163236[RCR]^{1,2,3}),1,2)</f>
        <v>1.8624708624708648</v>
      </c>
      <c r="AW27">
        <f>INDEX(LINEST(Table1x4143153163236[CU5],Table1x4143153163236[RCR]^{1,2,3}),1,2)</f>
        <v>2.4114219114219146</v>
      </c>
      <c r="AX27">
        <f>INDEX(LINEST(Table1x4143153163236[CU6],Table1x4143153163236[RCR]^{1,2,3}),1,2)</f>
        <v>1.2109557109557152</v>
      </c>
      <c r="AY27">
        <f>INDEX(LINEST(Table1x4143153163236[CU7],Table1x4143153163236[RCR]^{1,2,3}),1,2)</f>
        <v>1.6194638694638706</v>
      </c>
      <c r="AZ27">
        <f>INDEX(LINEST(Table1x4143153163236[CU8],Table1x4143153163236[RCR]^{1,2,3}),1,2)</f>
        <v>2.1555944055944094</v>
      </c>
      <c r="BA27">
        <f>INDEX(LINEST(Table1x4143153163236[CU9],Table1x4143153163236[RCR]^{1,2,3}),1,2)</f>
        <v>1.0110722610722638</v>
      </c>
      <c r="BB27">
        <f>INDEX(LINEST(Table1x4143153163236[CU10],Table1x4143153163236[RCR]^{1,2,3}),1,2)</f>
        <v>1.4784382284382334</v>
      </c>
      <c r="BC27">
        <f>INDEX(LINEST(Table1x4143153163236[CU11],Table1x4143153163236[RCR]^{1,2,3}),1,2)</f>
        <v>1.8071095571095641</v>
      </c>
      <c r="BD27">
        <f>INDEX(LINEST(Table1x4143153163236[CU12],Table1x4143153163236[RCR]^{1,2,3}),1,2)</f>
        <v>1.0168997668997684</v>
      </c>
      <c r="BE27">
        <f>INDEX(LINEST(Table1x4143153163236[CU13],Table1x4143153163236[RCR]^{1,2,3}),1,2)</f>
        <v>1.3257575757575792</v>
      </c>
      <c r="BF27">
        <f>INDEX(LINEST(Table1x4143153163236[CU14],Table1x4143153163236[RCR]^{1,2,3}),1,2)</f>
        <v>1.5233100233100259</v>
      </c>
      <c r="BH27" t="s">
        <v>219</v>
      </c>
      <c r="BI27">
        <f>INDEX(LINEST(Table2x4134144154164237[CU],Table2x4134144154164237[RCR]^{1,2,3}),1,2)</f>
        <v>1.2179487179487198</v>
      </c>
      <c r="BJ27">
        <f>INDEX(LINEST(Table2x4134144154164237[CU1],Table2x4134144154164237[RCR]^{1,2,3}),1,2)</f>
        <v>1.9965034965035033</v>
      </c>
      <c r="BK27">
        <f>INDEX(LINEST(Table2x4134144154164237[CU2],Table2x4134144154164237[RCR]^{1,2,3}),1,2)</f>
        <v>2.5675990675990747</v>
      </c>
      <c r="BL27">
        <f>INDEX(LINEST(Table2x4134144154164237[CU3],Table2x4134144154164237[RCR]^{1,2,3}),1,2)</f>
        <v>1.2336829836829917</v>
      </c>
      <c r="BM27">
        <f>INDEX(LINEST(Table2x4134144154164237[CU4],Table2x4134144154164237[RCR]^{1,2,3}),1,2)</f>
        <v>1.8170163170163238</v>
      </c>
      <c r="BN27">
        <f>INDEX(LINEST(Table2x4134144154164237[CU5],Table2x4134144154164237[RCR]^{1,2,3}),1,2)</f>
        <v>2.35314685314686</v>
      </c>
      <c r="BO27">
        <f>INDEX(LINEST(Table2x4134144154164237[CU6],Table2x4134144154164237[RCR]^{1,2,3}),1,2)</f>
        <v>1.1480186480186541</v>
      </c>
      <c r="BP27">
        <f>INDEX(LINEST(Table2x4134144154164237[CU7],Table2x4134144154164237[RCR]^{1,2,3}),1,2)</f>
        <v>1.7424242424242451</v>
      </c>
      <c r="BQ27">
        <f>INDEX(LINEST(Table2x4134144154164237[CU8],Table2x4134144154164237[RCR]^{1,2,3}),1,2)</f>
        <v>2.0530303030303036</v>
      </c>
      <c r="BR27">
        <f>INDEX(LINEST(Table2x4134144154164237[CU9],Table2x4134144154164237[RCR]^{1,2,3}),1,2)</f>
        <v>1.1223776223776252</v>
      </c>
      <c r="BS27">
        <f>INDEX(LINEST(Table2x4134144154164237[CU10],Table2x4134144154164237[RCR]^{1,2,3}),1,2)</f>
        <v>1.4592074592074624</v>
      </c>
      <c r="BT27">
        <f>INDEX(LINEST(Table2x4134144154164237[CU11],Table2x4134144154164237[RCR]^{1,2,3}),1,2)</f>
        <v>1.8018648018648069</v>
      </c>
      <c r="BU27">
        <f>INDEX(LINEST(Table2x4134144154164237[CU12],Table2x4134144154164237[RCR]^{1,2,3}),1,2)</f>
        <v>1.0361305361305373</v>
      </c>
      <c r="BV27">
        <f>INDEX(LINEST(Table2x4134144154164237[CU13],Table2x4134144154164237[RCR]^{1,2,3}),1,2)</f>
        <v>1.2348484848484871</v>
      </c>
      <c r="BW27">
        <f>INDEX(LINEST(Table2x4134144154164237[CU14],Table2x4134144154164237[RCR]^{1,2,3}),1,2)</f>
        <v>1.6590909090909134</v>
      </c>
      <c r="BY27" t="s">
        <v>219</v>
      </c>
      <c r="BZ27" t="e">
        <f t="array" ref="BZ27">INDEX(LINEST(Table2x4134144154165238[CU],Table2x4134144154165238[RCR]^{1,2,3}),1,2)</f>
        <v>#VALUE!</v>
      </c>
      <c r="CA27" t="e">
        <f>INDEX(LINEST(Table2x4134144154165238[CU1],Table2x4134144154165238[RCR]^{1,2,3}),1,2)</f>
        <v>#VALUE!</v>
      </c>
      <c r="CB27" t="e">
        <f>INDEX(LINEST(Table2x4134144154165238[CU2],Table2x4134144154165238[RCR]^{1,2,3}),1,2)</f>
        <v>#VALUE!</v>
      </c>
      <c r="CC27" t="e">
        <f>INDEX(LINEST(Table2x4134144154165238[CU3],Table2x4134144154165238[RCR]^{1,2,3}),1,2)</f>
        <v>#VALUE!</v>
      </c>
      <c r="CD27" t="e">
        <f>INDEX(LINEST(Table2x4134144154165238[CU4],Table2x4134144154165238[RCR]^{1,2,3}),1,2)</f>
        <v>#VALUE!</v>
      </c>
      <c r="CE27" t="e">
        <f>INDEX(LINEST(Table2x4134144154165238[CU5],Table2x4134144154165238[RCR]^{1,2,3}),1,2)</f>
        <v>#VALUE!</v>
      </c>
      <c r="CF27" t="e">
        <f>INDEX(LINEST(Table2x4134144154165238[CU6],Table2x4134144154165238[RCR]^{1,2,3}),1,2)</f>
        <v>#VALUE!</v>
      </c>
      <c r="CG27" t="e">
        <f>INDEX(LINEST(Table2x4134144154165238[CU7],Table2x4134144154165238[RCR]^{1,2,3}),1,2)</f>
        <v>#VALUE!</v>
      </c>
      <c r="CH27" t="e">
        <f>INDEX(LINEST(Table2x4134144154165238[CU8],Table2x4134144154165238[RCR]^{1,2,3}),1,2)</f>
        <v>#VALUE!</v>
      </c>
      <c r="CI27" t="e">
        <f>INDEX(LINEST(Table2x4134144154165238[CU9],Table2x4134144154165238[RCR]^{1,2,3}),1,2)</f>
        <v>#VALUE!</v>
      </c>
      <c r="CJ27" t="e">
        <f>INDEX(LINEST(Table2x4134144154165238[CU10],Table2x4134144154165238[RCR]^{1,2,3}),1,2)</f>
        <v>#VALUE!</v>
      </c>
      <c r="CK27" t="e">
        <f>INDEX(LINEST(Table2x4134144154165238[CU11],Table2x4134144154165238[RCR]^{1,2,3}),1,2)</f>
        <v>#VALUE!</v>
      </c>
      <c r="CL27" t="e">
        <f>INDEX(LINEST(Table2x4134144154165238[CU12],Table2x4134144154165238[RCR]^{1,2,3}),1,2)</f>
        <v>#VALUE!</v>
      </c>
      <c r="CM27" t="e">
        <f>INDEX(LINEST(Table2x4134144154165238[CU13],Table2x4134144154165238[RCR]^{1,2,3}),1,2)</f>
        <v>#VALUE!</v>
      </c>
      <c r="CN27" t="e">
        <f>INDEX(LINEST(Table2x4134144154165238[CU14],Table2x4134144154165238[RCR]^{1,2,3}),1,2)</f>
        <v>#VALUE!</v>
      </c>
      <c r="CP27" t="s">
        <v>219</v>
      </c>
      <c r="CQ27" t="e">
        <f t="array" ref="CQ27">INDEX(LINEST(Table2x4134144154166239[CU],Table2x4134144154166239[RCR]^{1,2,3}),1,2)</f>
        <v>#VALUE!</v>
      </c>
      <c r="CR27" t="e">
        <f>INDEX(LINEST(Table2x4134144154166239[CU1],Table2x4134144154166239[RCR]^{1,2,3}),1,2)</f>
        <v>#VALUE!</v>
      </c>
      <c r="CS27" t="e">
        <f>INDEX(LINEST(Table2x4134144154166239[CU2],Table2x4134144154166239[RCR]^{1,2,3}),1,2)</f>
        <v>#VALUE!</v>
      </c>
      <c r="CT27" t="e">
        <f>INDEX(LINEST(Table2x4134144154166239[CU3],Table2x4134144154166239[RCR]^{1,2,3}),1,2)</f>
        <v>#VALUE!</v>
      </c>
      <c r="CU27" t="e">
        <f>INDEX(LINEST(Table2x4134144154166239[CU4],Table2x4134144154166239[RCR]^{1,2,3}),1,2)</f>
        <v>#VALUE!</v>
      </c>
      <c r="CV27" t="e">
        <f>INDEX(LINEST(Table2x4134144154166239[CU5],Table2x4134144154166239[RCR]^{1,2,3}),1,2)</f>
        <v>#VALUE!</v>
      </c>
      <c r="CW27" t="e">
        <f>INDEX(LINEST(Table2x4134144154166239[CU6],Table2x4134144154166239[RCR]^{1,2,3}),1,2)</f>
        <v>#VALUE!</v>
      </c>
      <c r="CX27" t="e">
        <f>INDEX(LINEST(Table2x4134144154166239[CU7],Table2x4134144154166239[RCR]^{1,2,3}),1,2)</f>
        <v>#VALUE!</v>
      </c>
      <c r="CY27" t="e">
        <f>INDEX(LINEST(Table2x4134144154166239[CU8],Table2x4134144154166239[RCR]^{1,2,3}),1,2)</f>
        <v>#VALUE!</v>
      </c>
      <c r="CZ27" t="e">
        <f>INDEX(LINEST(Table2x4134144154166239[CU9],Table2x4134144154166239[RCR]^{1,2,3}),1,2)</f>
        <v>#VALUE!</v>
      </c>
      <c r="DA27" t="e">
        <f>INDEX(LINEST(Table2x4134144154166239[CU10],Table2x4134144154166239[RCR]^{1,2,3}),1,2)</f>
        <v>#VALUE!</v>
      </c>
      <c r="DB27" t="e">
        <f>INDEX(LINEST(Table2x4134144154166239[CU11],Table2x4134144154166239[RCR]^{1,2,3}),1,2)</f>
        <v>#VALUE!</v>
      </c>
      <c r="DC27" t="e">
        <f>INDEX(LINEST(Table2x4134144154166239[CU12],Table2x4134144154166239[RCR]^{1,2,3}),1,2)</f>
        <v>#VALUE!</v>
      </c>
      <c r="DD27" t="e">
        <f>INDEX(LINEST(Table2x4134144154166239[CU13],Table2x4134144154166239[RCR]^{1,2,3}),1,2)</f>
        <v>#VALUE!</v>
      </c>
      <c r="DE27" t="e">
        <f>INDEX(LINEST(Table2x4134144154166239[CU14],Table2x4134144154166239[RCR]^{1,2,3}),1,2)</f>
        <v>#VALUE!</v>
      </c>
    </row>
    <row r="28" spans="1:114" x14ac:dyDescent="0.25">
      <c r="C28" s="1"/>
      <c r="H28" s="5"/>
      <c r="I28" t="s">
        <v>220</v>
      </c>
      <c r="J28">
        <f t="array" ref="J28">INDEX(LINEST(Table2x4134144154227[CU],Table2x4134144154227[RCR]^{1,2,3}),1,3)</f>
        <v>-16.639860139860151</v>
      </c>
      <c r="K28">
        <f>INDEX(LINEST(Table2x4134144154227[CU1],Table2x4134144154227[RCR]^{1,2,3}),1,3)</f>
        <v>-21.057109557109591</v>
      </c>
      <c r="L28">
        <f>INDEX(LINEST(Table2x4134144154227[CU2],Table2x4134144154227[RCR]^{1,2,3}),1,3)</f>
        <v>-24.470862470862471</v>
      </c>
      <c r="M28">
        <f>INDEX(LINEST(Table2x4134144154227[CU3],Table2x4134144154227[RCR]^{1,2,3}),1,3)</f>
        <v>-15.723387723387736</v>
      </c>
      <c r="N28">
        <f>INDEX(LINEST(Table2x4134144154227[CU4],Table2x4134144154227[RCR]^{1,2,3}),1,3)</f>
        <v>-19.969696969696965</v>
      </c>
      <c r="O28">
        <f>INDEX(LINEST(Table2x4134144154227[CU5],Table2x4134144154227[RCR]^{1,2,3}),1,3)</f>
        <v>-23.557886557886548</v>
      </c>
      <c r="P28">
        <f>INDEX(LINEST(Table2x4134144154227[CU6],Table2x4134144154227[RCR]^{1,2,3}),1,3)</f>
        <v>-15.221445221445249</v>
      </c>
      <c r="Q28">
        <f>INDEX(LINEST(Table2x4134144154227[CU7],Table2x4134144154227[RCR]^{1,2,3}),1,3)</f>
        <v>-18.588578088578121</v>
      </c>
      <c r="R28">
        <f>INDEX(LINEST(Table2x4134144154227[CU8],Table2x4134144154227[RCR]^{1,2,3}),1,3)</f>
        <v>-21.243201243201245</v>
      </c>
      <c r="S28">
        <f>INDEX(LINEST(Table2x4134144154227[CU9],Table2x4134144154227[RCR]^{1,2,3}),1,3)</f>
        <v>-14.11926961926963</v>
      </c>
      <c r="T28">
        <f>INDEX(LINEST(Table2x4134144154227[CU10],Table2x4134144154227[RCR]^{1,2,3}),1,3)</f>
        <v>-16.484071484071492</v>
      </c>
      <c r="U28">
        <f>INDEX(LINEST(Table2x4134144154227[CU11],Table2x4134144154227[RCR]^{1,2,3}),1,3)</f>
        <v>-18.93822843822846</v>
      </c>
      <c r="V28">
        <f>INDEX(LINEST(Table2x4134144154227[CU12],Table2x4134144154227[RCR]^{1,2,3}),1,3)</f>
        <v>-13.314296814296821</v>
      </c>
      <c r="W28">
        <f>INDEX(LINEST(Table2x4134144154227[CU13],Table2x4134144154227[RCR]^{1,2,3}),1,3)</f>
        <v>-16.029526029526039</v>
      </c>
      <c r="X28">
        <f>INDEX(LINEST(Table2x4134144154227[CU14],Table2x4134144154227[RCR]^{1,2,3}),1,3)</f>
        <v>-17.696192696192721</v>
      </c>
      <c r="Z28" t="s">
        <v>220</v>
      </c>
      <c r="AA28">
        <f>INDEX(LINEST(Table2x2141151161234[CU],Table2x2141151161234[RCR]^{1,2,3}),1,3)</f>
        <v>-16.53807303807303</v>
      </c>
      <c r="AB28">
        <f>INDEX(LINEST(Table2x2141151161234[CU1],Table2x2141151161234[RCR]^{1,2,3}),1,3)</f>
        <v>-20.805749805749819</v>
      </c>
      <c r="AC28">
        <f>INDEX(LINEST(Table2x2141151161234[CU2],Table2x2141151161234[RCR]^{1,2,3}),1,3)</f>
        <v>-24.470862470862471</v>
      </c>
      <c r="AD28">
        <f>INDEX(LINEST(Table2x2141151161234[CU3],Table2x2141151161234[RCR]^{1,2,3}),1,3)</f>
        <v>-15.723387723387736</v>
      </c>
      <c r="AE28">
        <f>INDEX(LINEST(Table2x2141151161234[CU4],Table2x2141151161234[RCR]^{1,2,3}),1,3)</f>
        <v>-19.969696969696965</v>
      </c>
      <c r="AF28">
        <f>INDEX(LINEST(Table2x2141151161234[CU5],Table2x2141151161234[RCR]^{1,2,3}),1,3)</f>
        <v>-23.557886557886548</v>
      </c>
      <c r="AG28">
        <f>INDEX(LINEST(Table2x2141151161234[CU6],Table2x2141151161234[RCR]^{1,2,3}),1,3)</f>
        <v>-15.059052059052055</v>
      </c>
      <c r="AH28">
        <f>INDEX(LINEST(Table2x2141151161234[CU7],Table2x2141151161234[RCR]^{1,2,3}),1,3)</f>
        <v>-18.281274281274271</v>
      </c>
      <c r="AI28">
        <f>INDEX(LINEST(Table2x2141151161234[CU8],Table2x2141151161234[RCR]^{1,2,3}),1,3)</f>
        <v>-21.282051282051292</v>
      </c>
      <c r="AJ28">
        <f>INDEX(LINEST(Table2x2141151161234[CU9],Table2x2141151161234[RCR]^{1,2,3}),1,3)</f>
        <v>-14.002719502719506</v>
      </c>
      <c r="AK28">
        <f>INDEX(LINEST(Table2x2141151161234[CU10],Table2x2141151161234[RCR]^{1,2,3}),1,3)</f>
        <v>-16.6895881895882</v>
      </c>
      <c r="AL28">
        <f>INDEX(LINEST(Table2x2141151161234[CU11],Table2x2141151161234[RCR]^{1,2,3}),1,3)</f>
        <v>-19.143745143745136</v>
      </c>
      <c r="AM28">
        <f>INDEX(LINEST(Table2x2141151161234[CU12],Table2x2141151161234[RCR]^{1,2,3}),1,3)</f>
        <v>-13.314296814296821</v>
      </c>
      <c r="AN28">
        <f>INDEX(LINEST(Table2x2141151161234[CU13],Table2x2141151161234[RCR]^{1,2,3}),1,3)</f>
        <v>-15.77816627816628</v>
      </c>
      <c r="AO28">
        <f>INDEX(LINEST(Table2x2141151161234[CU14],Table2x2141151161234[RCR]^{1,2,3}),1,3)</f>
        <v>-17.73776223776224</v>
      </c>
      <c r="AQ28" t="s">
        <v>220</v>
      </c>
      <c r="AR28">
        <f>INDEX(LINEST(Table1x4143153163236[CU],Table1x4143153163236[RCR]^{1,2,3}),1,3)</f>
        <v>-16.870240870240906</v>
      </c>
      <c r="AS28">
        <f>INDEX(LINEST(Table1x4143153163236[CU1],Table1x4143153163236[RCR]^{1,2,3}),1,3)</f>
        <v>-21.142579642579662</v>
      </c>
      <c r="AT28">
        <f>INDEX(LINEST(Table1x4143153163236[CU2],Table1x4143153163236[RCR]^{1,2,3}),1,3)</f>
        <v>-24.778166278166289</v>
      </c>
      <c r="AU28">
        <f>INDEX(LINEST(Table1x4143153163236[CU3],Table1x4143153163236[RCR]^{1,2,3}),1,3)</f>
        <v>-15.912587412587426</v>
      </c>
      <c r="AV28">
        <f>INDEX(LINEST(Table1x4143153163236[CU4],Table1x4143153163236[RCR]^{1,2,3}),1,3)</f>
        <v>-20.198523698523697</v>
      </c>
      <c r="AW28">
        <f>INDEX(LINEST(Table1x4143153163236[CU5],Table1x4143153163236[RCR]^{1,2,3}),1,3)</f>
        <v>-23.518259518259519</v>
      </c>
      <c r="AX28">
        <f>INDEX(LINEST(Table1x4143153163236[CU6],Table1x4143153163236[RCR]^{1,2,3}),1,3)</f>
        <v>-15.387334887334902</v>
      </c>
      <c r="AY28">
        <f>INDEX(LINEST(Table1x4143153163236[CU7],Table1x4143153163236[RCR]^{1,2,3}),1,3)</f>
        <v>-18.548951048951043</v>
      </c>
      <c r="AZ28">
        <f>INDEX(LINEST(Table1x4143153163236[CU8],Table1x4143153163236[RCR]^{1,2,3}),1,3)</f>
        <v>-21.722610722610728</v>
      </c>
      <c r="BA28">
        <f>INDEX(LINEST(Table1x4143153163236[CU9],Table1x4143153163236[RCR]^{1,2,3}),1,3)</f>
        <v>-14.079642579642584</v>
      </c>
      <c r="BB28">
        <f>INDEX(LINEST(Table1x4143153163236[CU10],Table1x4143153163236[RCR]^{1,2,3}),1,3)</f>
        <v>-17.189199689199704</v>
      </c>
      <c r="BC28">
        <f>INDEX(LINEST(Table1x4143153163236[CU11],Table1x4143153163236[RCR]^{1,2,3}),1,3)</f>
        <v>-19.433177933177955</v>
      </c>
      <c r="BD28">
        <f>INDEX(LINEST(Table1x4143153163236[CU12],Table1x4143153163236[RCR]^{1,2,3}),1,3)</f>
        <v>-13.621600621600624</v>
      </c>
      <c r="BE28">
        <f>INDEX(LINEST(Table1x4143153163236[CU13],Table1x4143153163236[RCR]^{1,2,3}),1,3)</f>
        <v>-16.029526029526039</v>
      </c>
      <c r="BF28">
        <f>INDEX(LINEST(Table1x4143153163236[CU14],Table1x4143153163236[RCR]^{1,2,3}),1,3)</f>
        <v>-17.73776223776224</v>
      </c>
      <c r="BH28" t="s">
        <v>220</v>
      </c>
      <c r="BI28">
        <f>INDEX(LINEST(Table2x4134144154164237[CU],Table2x4134144154164237[RCR]^{1,2,3}),1,3)</f>
        <v>-16.291763791763788</v>
      </c>
      <c r="BJ28">
        <f>INDEX(LINEST(Table2x4134144154164237[CU1],Table2x4134144154164237[RCR]^{1,2,3}),1,3)</f>
        <v>-21.116550116550144</v>
      </c>
      <c r="BK28">
        <f>INDEX(LINEST(Table2x4134144154164237[CU2],Table2x4134144154164237[RCR]^{1,2,3}),1,3)</f>
        <v>-24.639860139860158</v>
      </c>
      <c r="BL28">
        <f>INDEX(LINEST(Table2x4134144154164237[CU3],Table2x4134144154164237[RCR]^{1,2,3}),1,3)</f>
        <v>-16.032634032634064</v>
      </c>
      <c r="BM28">
        <f>INDEX(LINEST(Table2x4134144154164237[CU4],Table2x4134144154164237[RCR]^{1,2,3}),1,3)</f>
        <v>-20.094794094794121</v>
      </c>
      <c r="BN28">
        <f>INDEX(LINEST(Table2x4134144154164237[CU5],Table2x4134144154164237[RCR]^{1,2,3}),1,3)</f>
        <v>-23.268453768453789</v>
      </c>
      <c r="BO28">
        <f>INDEX(LINEST(Table2x4134144154164237[CU6],Table2x4134144154164237[RCR]^{1,2,3}),1,3)</f>
        <v>-15.019425019425043</v>
      </c>
      <c r="BP28">
        <f>INDEX(LINEST(Table2x4134144154164237[CU7],Table2x4134144154164237[RCR]^{1,2,3}),1,3)</f>
        <v>-18.921911421911421</v>
      </c>
      <c r="BQ28">
        <f>INDEX(LINEST(Table2x4134144154164237[CU8],Table2x4134144154164237[RCR]^{1,2,3}),1,3)</f>
        <v>-21.192307692307683</v>
      </c>
      <c r="BR28">
        <f>INDEX(LINEST(Table2x4134144154164237[CU9],Table2x4134144154164237[RCR]^{1,2,3}),1,3)</f>
        <v>-14.336052836052838</v>
      </c>
      <c r="BS28">
        <f>INDEX(LINEST(Table2x4134144154164237[CU10],Table2x4134144154164237[RCR]^{1,2,3}),1,3)</f>
        <v>-17.023698523698528</v>
      </c>
      <c r="BT28">
        <f>INDEX(LINEST(Table2x4134144154164237[CU11],Table2x4134144154164237[RCR]^{1,2,3}),1,3)</f>
        <v>-19.371794871794886</v>
      </c>
      <c r="BU28">
        <f>INDEX(LINEST(Table2x4134144154164237[CU12],Table2x4134144154164237[RCR]^{1,2,3}),1,3)</f>
        <v>-13.56138306138306</v>
      </c>
      <c r="BV28">
        <f>INDEX(LINEST(Table2x4134144154164237[CU13],Table2x4134144154164237[RCR]^{1,2,3}),1,3)</f>
        <v>-15.615773115773113</v>
      </c>
      <c r="BW28">
        <f>INDEX(LINEST(Table2x4134144154164237[CU14],Table2x4134144154164237[RCR]^{1,2,3}),1,3)</f>
        <v>-18.094405594405604</v>
      </c>
      <c r="BY28" t="s">
        <v>220</v>
      </c>
      <c r="BZ28" t="e">
        <f t="array" ref="BZ28">INDEX(LINEST(Table2x4134144154165238[CU],Table2x4134144154165238[RCR]^{1,2,3}),1,3)</f>
        <v>#VALUE!</v>
      </c>
      <c r="CA28" t="e">
        <f>INDEX(LINEST(Table2x4134144154165238[CU1],Table2x4134144154165238[RCR]^{1,2,3}),1,3)</f>
        <v>#VALUE!</v>
      </c>
      <c r="CB28" t="e">
        <f>INDEX(LINEST(Table2x4134144154165238[CU2],Table2x4134144154165238[RCR]^{1,2,3}),1,3)</f>
        <v>#VALUE!</v>
      </c>
      <c r="CC28" t="e">
        <f>INDEX(LINEST(Table2x4134144154165238[CU3],Table2x4134144154165238[RCR]^{1,2,3}),1,3)</f>
        <v>#VALUE!</v>
      </c>
      <c r="CD28" t="e">
        <f>INDEX(LINEST(Table2x4134144154165238[CU4],Table2x4134144154165238[RCR]^{1,2,3}),1,3)</f>
        <v>#VALUE!</v>
      </c>
      <c r="CE28" t="e">
        <f>INDEX(LINEST(Table2x4134144154165238[CU5],Table2x4134144154165238[RCR]^{1,2,3}),1,3)</f>
        <v>#VALUE!</v>
      </c>
      <c r="CF28" t="e">
        <f>INDEX(LINEST(Table2x4134144154165238[CU6],Table2x4134144154165238[RCR]^{1,2,3}),1,3)</f>
        <v>#VALUE!</v>
      </c>
      <c r="CG28" t="e">
        <f>INDEX(LINEST(Table2x4134144154165238[CU7],Table2x4134144154165238[RCR]^{1,2,3}),1,3)</f>
        <v>#VALUE!</v>
      </c>
      <c r="CH28" t="e">
        <f>INDEX(LINEST(Table2x4134144154165238[CU8],Table2x4134144154165238[RCR]^{1,2,3}),1,3)</f>
        <v>#VALUE!</v>
      </c>
      <c r="CI28" t="e">
        <f>INDEX(LINEST(Table2x4134144154165238[CU9],Table2x4134144154165238[RCR]^{1,2,3}),1,3)</f>
        <v>#VALUE!</v>
      </c>
      <c r="CJ28" t="e">
        <f>INDEX(LINEST(Table2x4134144154165238[CU10],Table2x4134144154165238[RCR]^{1,2,3}),1,3)</f>
        <v>#VALUE!</v>
      </c>
      <c r="CK28" t="e">
        <f>INDEX(LINEST(Table2x4134144154165238[CU11],Table2x4134144154165238[RCR]^{1,2,3}),1,3)</f>
        <v>#VALUE!</v>
      </c>
      <c r="CL28" t="e">
        <f>INDEX(LINEST(Table2x4134144154165238[CU12],Table2x4134144154165238[RCR]^{1,2,3}),1,3)</f>
        <v>#VALUE!</v>
      </c>
      <c r="CM28" t="e">
        <f>INDEX(LINEST(Table2x4134144154165238[CU13],Table2x4134144154165238[RCR]^{1,2,3}),1,3)</f>
        <v>#VALUE!</v>
      </c>
      <c r="CN28" t="e">
        <f>INDEX(LINEST(Table2x4134144154165238[CU14],Table2x4134144154165238[RCR]^{1,2,3}),1,3)</f>
        <v>#VALUE!</v>
      </c>
      <c r="CP28" t="s">
        <v>220</v>
      </c>
      <c r="CQ28" t="e">
        <f t="array" ref="CQ28">INDEX(LINEST(Table2x4134144154166239[CU],Table2x4134144154166239[RCR]^{1,2,3}),1,3)</f>
        <v>#VALUE!</v>
      </c>
      <c r="CR28" t="e">
        <f>INDEX(LINEST(Table2x4134144154166239[CU1],Table2x4134144154166239[RCR]^{1,2,3}),1,3)</f>
        <v>#VALUE!</v>
      </c>
      <c r="CS28" t="e">
        <f>INDEX(LINEST(Table2x4134144154166239[CU2],Table2x4134144154166239[RCR]^{1,2,3}),1,3)</f>
        <v>#VALUE!</v>
      </c>
      <c r="CT28" t="e">
        <f>INDEX(LINEST(Table2x4134144154166239[CU3],Table2x4134144154166239[RCR]^{1,2,3}),1,3)</f>
        <v>#VALUE!</v>
      </c>
      <c r="CU28" t="e">
        <f>INDEX(LINEST(Table2x4134144154166239[CU4],Table2x4134144154166239[RCR]^{1,2,3}),1,3)</f>
        <v>#VALUE!</v>
      </c>
      <c r="CV28" t="e">
        <f>INDEX(LINEST(Table2x4134144154166239[CU5],Table2x4134144154166239[RCR]^{1,2,3}),1,3)</f>
        <v>#VALUE!</v>
      </c>
      <c r="CW28" t="e">
        <f>INDEX(LINEST(Table2x4134144154166239[CU6],Table2x4134144154166239[RCR]^{1,2,3}),1,3)</f>
        <v>#VALUE!</v>
      </c>
      <c r="CX28" t="e">
        <f>INDEX(LINEST(Table2x4134144154166239[CU7],Table2x4134144154166239[RCR]^{1,2,3}),1,3)</f>
        <v>#VALUE!</v>
      </c>
      <c r="CY28" t="e">
        <f>INDEX(LINEST(Table2x4134144154166239[CU8],Table2x4134144154166239[RCR]^{1,2,3}),1,3)</f>
        <v>#VALUE!</v>
      </c>
      <c r="CZ28" t="e">
        <f>INDEX(LINEST(Table2x4134144154166239[CU9],Table2x4134144154166239[RCR]^{1,2,3}),1,3)</f>
        <v>#VALUE!</v>
      </c>
      <c r="DA28" t="e">
        <f>INDEX(LINEST(Table2x4134144154166239[CU10],Table2x4134144154166239[RCR]^{1,2,3}),1,3)</f>
        <v>#VALUE!</v>
      </c>
      <c r="DB28" t="e">
        <f>INDEX(LINEST(Table2x4134144154166239[CU11],Table2x4134144154166239[RCR]^{1,2,3}),1,3)</f>
        <v>#VALUE!</v>
      </c>
      <c r="DC28" t="e">
        <f>INDEX(LINEST(Table2x4134144154166239[CU12],Table2x4134144154166239[RCR]^{1,2,3}),1,3)</f>
        <v>#VALUE!</v>
      </c>
      <c r="DD28" t="e">
        <f>INDEX(LINEST(Table2x4134144154166239[CU13],Table2x4134144154166239[RCR]^{1,2,3}),1,3)</f>
        <v>#VALUE!</v>
      </c>
      <c r="DE28" t="e">
        <f>INDEX(LINEST(Table2x4134144154166239[CU14],Table2x4134144154166239[RCR]^{1,2,3}),1,3)</f>
        <v>#VALUE!</v>
      </c>
    </row>
    <row r="29" spans="1:114" x14ac:dyDescent="0.25">
      <c r="C29" s="3"/>
      <c r="H29" s="5"/>
      <c r="I29" t="s">
        <v>221</v>
      </c>
      <c r="J29">
        <f>INDEX(LINEST(Table2x4134144154227[CU],Table2x4134144154227[RCR]^{1,2,3}),1,4)</f>
        <v>119.18181818181819</v>
      </c>
      <c r="K29">
        <f>INDEX(LINEST(Table2x4134144154227[CU1],Table2x4134144154227[RCR]^{1,2,3}),1,4)</f>
        <v>119.00699300699303</v>
      </c>
      <c r="L29">
        <f>INDEX(LINEST(Table2x4134144154227[CU2],Table2x4134144154227[RCR]^{1,2,3}),1,4)</f>
        <v>118.47552447552444</v>
      </c>
      <c r="M29">
        <f>INDEX(LINEST(Table2x4134144154227[CU3],Table2x4134144154227[RCR]^{1,2,3}),1,4)</f>
        <v>116.21678321678321</v>
      </c>
      <c r="N29">
        <f>INDEX(LINEST(Table2x4134144154227[CU4],Table2x4134144154227[RCR]^{1,2,3}),1,4)</f>
        <v>116.07692307692305</v>
      </c>
      <c r="O29">
        <f>INDEX(LINEST(Table2x4134144154227[CU5],Table2x4134144154227[RCR]^{1,2,3}),1,4)</f>
        <v>115.91608391608389</v>
      </c>
      <c r="P29">
        <f>INDEX(LINEST(Table2x4134144154227[CU6],Table2x4134144154227[RCR]^{1,2,3}),1,4)</f>
        <v>111.36363636363637</v>
      </c>
      <c r="Q29">
        <f>INDEX(LINEST(Table2x4134144154227[CU7],Table2x4134144154227[RCR]^{1,2,3}),1,4)</f>
        <v>111.30769230769232</v>
      </c>
      <c r="R29">
        <f>INDEX(LINEST(Table2x4134144154227[CU8],Table2x4134144154227[RCR]^{1,2,3}),1,4)</f>
        <v>110.91608391608389</v>
      </c>
      <c r="S29">
        <f>INDEX(LINEST(Table2x4134144154227[CU9],Table2x4134144154227[RCR]^{1,2,3}),1,4)</f>
        <v>106.41258741258741</v>
      </c>
      <c r="T29">
        <f>INDEX(LINEST(Table2x4134144154227[CU10],Table2x4134144154227[RCR]^{1,2,3}),1,4)</f>
        <v>106.08391608391607</v>
      </c>
      <c r="U29">
        <f>INDEX(LINEST(Table2x4134144154227[CU11],Table2x4134144154227[RCR]^{1,2,3}),1,4)</f>
        <v>106.01398601398603</v>
      </c>
      <c r="V29">
        <f>INDEX(LINEST(Table2x4134144154227[CU12],Table2x4134144154227[RCR]^{1,2,3}),1,4)</f>
        <v>102.13986013986013</v>
      </c>
      <c r="W29">
        <f>INDEX(LINEST(Table2x4134144154227[CU13],Table2x4134144154227[RCR]^{1,2,3}),1,4)</f>
        <v>102.25174825174827</v>
      </c>
      <c r="X29">
        <f>INDEX(LINEST(Table2x4134144154227[CU14],Table2x4134144154227[RCR]^{1,2,3}),1,4)</f>
        <v>102.03496503496504</v>
      </c>
      <c r="Z29" t="s">
        <v>221</v>
      </c>
      <c r="AA29">
        <f>INDEX(LINEST(Table2x2141151161234[CU],Table2x2141151161234[RCR]^{1,2,3}),1,4)</f>
        <v>119.18881118881114</v>
      </c>
      <c r="AB29">
        <f>INDEX(LINEST(Table2x2141151161234[CU1],Table2x2141151161234[RCR]^{1,2,3}),1,4)</f>
        <v>118.88811188811189</v>
      </c>
      <c r="AC29">
        <f>INDEX(LINEST(Table2x2141151161234[CU2],Table2x2141151161234[RCR]^{1,2,3}),1,4)</f>
        <v>118.47552447552444</v>
      </c>
      <c r="AD29">
        <f>INDEX(LINEST(Table2x2141151161234[CU3],Table2x2141151161234[RCR]^{1,2,3}),1,4)</f>
        <v>116.21678321678321</v>
      </c>
      <c r="AE29">
        <f>INDEX(LINEST(Table2x2141151161234[CU4],Table2x2141151161234[RCR]^{1,2,3}),1,4)</f>
        <v>116.07692307692305</v>
      </c>
      <c r="AF29">
        <f>INDEX(LINEST(Table2x2141151161234[CU5],Table2x2141151161234[RCR]^{1,2,3}),1,4)</f>
        <v>115.91608391608389</v>
      </c>
      <c r="AG29">
        <f>INDEX(LINEST(Table2x2141151161234[CU6],Table2x2141151161234[RCR]^{1,2,3}),1,4)</f>
        <v>111.25174825174825</v>
      </c>
      <c r="AH29">
        <f>INDEX(LINEST(Table2x2141151161234[CU7],Table2x2141151161234[RCR]^{1,2,3}),1,4)</f>
        <v>111.22377622377623</v>
      </c>
      <c r="AI29">
        <f>INDEX(LINEST(Table2x2141151161234[CU8],Table2x2141151161234[RCR]^{1,2,3}),1,4)</f>
        <v>111.08391608391608</v>
      </c>
      <c r="AJ29">
        <f>INDEX(LINEST(Table2x2141151161234[CU9],Table2x2141151161234[RCR]^{1,2,3}),1,4)</f>
        <v>106.32867132867131</v>
      </c>
      <c r="AK29">
        <f>INDEX(LINEST(Table2x2141151161234[CU10],Table2x2141151161234[RCR]^{1,2,3}),1,4)</f>
        <v>106.17482517482517</v>
      </c>
      <c r="AL29">
        <f>INDEX(LINEST(Table2x2141151161234[CU11],Table2x2141151161234[RCR]^{1,2,3}),1,4)</f>
        <v>106.10489510489509</v>
      </c>
      <c r="AM29">
        <f>INDEX(LINEST(Table2x2141151161234[CU12],Table2x2141151161234[RCR]^{1,2,3}),1,4)</f>
        <v>102.13986013986013</v>
      </c>
      <c r="AN29">
        <f>INDEX(LINEST(Table2x2141151161234[CU13],Table2x2141151161234[RCR]^{1,2,3}),1,4)</f>
        <v>102.13286713286712</v>
      </c>
      <c r="AO29">
        <f>INDEX(LINEST(Table2x2141151161234[CU14],Table2x2141151161234[RCR]^{1,2,3}),1,4)</f>
        <v>102.02097902097901</v>
      </c>
      <c r="AQ29" t="s">
        <v>221</v>
      </c>
      <c r="AR29">
        <f>INDEX(LINEST(Table1x4143153163236[CU],Table1x4143153163236[RCR]^{1,2,3}),1,4)</f>
        <v>119.13286713286716</v>
      </c>
      <c r="AS29">
        <f>INDEX(LINEST(Table1x4143153163236[CU1],Table1x4143153163236[RCR]^{1,2,3}),1,4)</f>
        <v>118.58741258741259</v>
      </c>
      <c r="AT29">
        <f>INDEX(LINEST(Table1x4143153163236[CU2],Table1x4143153163236[RCR]^{1,2,3}),1,4)</f>
        <v>118.55944055944053</v>
      </c>
      <c r="AU29">
        <f>INDEX(LINEST(Table1x4143153163236[CU3],Table1x4143153163236[RCR]^{1,2,3}),1,4)</f>
        <v>115.82517482517481</v>
      </c>
      <c r="AV29">
        <f>INDEX(LINEST(Table1x4143153163236[CU4],Table1x4143153163236[RCR]^{1,2,3}),1,4)</f>
        <v>116.02097902097901</v>
      </c>
      <c r="AW29">
        <f>INDEX(LINEST(Table1x4143153163236[CU5],Table1x4143153163236[RCR]^{1,2,3}),1,4)</f>
        <v>115.58041958041954</v>
      </c>
      <c r="AX29">
        <f>INDEX(LINEST(Table1x4143153163236[CU6],Table1x4143153163236[RCR]^{1,2,3}),1,4)</f>
        <v>111.11888111888115</v>
      </c>
      <c r="AY29">
        <f>INDEX(LINEST(Table1x4143153163236[CU7],Table1x4143153163236[RCR]^{1,2,3}),1,4)</f>
        <v>110.97202797202793</v>
      </c>
      <c r="AZ29">
        <f>INDEX(LINEST(Table1x4143153163236[CU8],Table1x4143153163236[RCR]^{1,2,3}),1,4)</f>
        <v>110.81118881118879</v>
      </c>
      <c r="BA29">
        <f>INDEX(LINEST(Table1x4143153163236[CU9],Table1x4143153163236[RCR]^{1,2,3}),1,4)</f>
        <v>106.07692307692307</v>
      </c>
      <c r="BB29">
        <f>INDEX(LINEST(Table1x4143153163236[CU10],Table1x4143153163236[RCR]^{1,2,3}),1,4)</f>
        <v>106.17482517482517</v>
      </c>
      <c r="BC29">
        <f>INDEX(LINEST(Table1x4143153163236[CU11],Table1x4143153163236[RCR]^{1,2,3}),1,4)</f>
        <v>105.76923076923075</v>
      </c>
      <c r="BD29">
        <f>INDEX(LINEST(Table1x4143153163236[CU12],Table1x4143153163236[RCR]^{1,2,3}),1,4)</f>
        <v>102.22377622377621</v>
      </c>
      <c r="BE29">
        <f>INDEX(LINEST(Table1x4143153163236[CU13],Table1x4143153163236[RCR]^{1,2,3}),1,4)</f>
        <v>102.25174825174827</v>
      </c>
      <c r="BF29">
        <f>INDEX(LINEST(Table1x4143153163236[CU14],Table1x4143153163236[RCR]^{1,2,3}),1,4)</f>
        <v>102.02097902097901</v>
      </c>
      <c r="BH29" t="s">
        <v>221</v>
      </c>
      <c r="BI29">
        <f>INDEX(LINEST(Table2x4134144154164237[CU],Table2x4134144154164237[RCR]^{1,2,3}),1,4)</f>
        <v>119.02797202797203</v>
      </c>
      <c r="BJ29">
        <f>INDEX(LINEST(Table2x4134144154164237[CU1],Table2x4134144154164237[RCR]^{1,2,3}),1,4)</f>
        <v>118.99300699300703</v>
      </c>
      <c r="BK29">
        <f>INDEX(LINEST(Table2x4134144154164237[CU2],Table2x4134144154164237[RCR]^{1,2,3}),1,4)</f>
        <v>118.53846153846153</v>
      </c>
      <c r="BL29">
        <f>INDEX(LINEST(Table2x4134144154164237[CU3],Table2x4134144154164237[RCR]^{1,2,3}),1,4)</f>
        <v>116.31468531468532</v>
      </c>
      <c r="BM29">
        <f>INDEX(LINEST(Table2x4134144154164237[CU4],Table2x4134144154164237[RCR]^{1,2,3}),1,4)</f>
        <v>115.99300699300701</v>
      </c>
      <c r="BN29">
        <f>INDEX(LINEST(Table2x4134144154164237[CU5],Table2x4134144154164237[RCR]^{1,2,3}),1,4)</f>
        <v>115.46853146853147</v>
      </c>
      <c r="BO29">
        <f>INDEX(LINEST(Table2x4134144154164237[CU6],Table2x4134144154164237[RCR]^{1,2,3}),1,4)</f>
        <v>110.91608391608395</v>
      </c>
      <c r="BP29">
        <f>INDEX(LINEST(Table2x4134144154164237[CU7],Table2x4134144154164237[RCR]^{1,2,3}),1,4)</f>
        <v>111.11888111888111</v>
      </c>
      <c r="BQ29">
        <f>INDEX(LINEST(Table2x4134144154164237[CU8],Table2x4134144154164237[RCR]^{1,2,3}),1,4)</f>
        <v>110.51048951048949</v>
      </c>
      <c r="BR29">
        <f>INDEX(LINEST(Table2x4134144154164237[CU9],Table2x4134144154164237[RCR]^{1,2,3}),1,4)</f>
        <v>106.1398601398601</v>
      </c>
      <c r="BS29">
        <f>INDEX(LINEST(Table2x4134144154164237[CU10],Table2x4134144154164237[RCR]^{1,2,3}),1,4)</f>
        <v>106.13286713286712</v>
      </c>
      <c r="BT29">
        <f>INDEX(LINEST(Table2x4134144154164237[CU11],Table2x4134144154164237[RCR]^{1,2,3}),1,4)</f>
        <v>105.88111888111889</v>
      </c>
      <c r="BU29">
        <f>INDEX(LINEST(Table2x4134144154164237[CU12],Table2x4134144154164237[RCR]^{1,2,3}),1,4)</f>
        <v>102.21678321678321</v>
      </c>
      <c r="BV29">
        <f>INDEX(LINEST(Table2x4134144154164237[CU13],Table2x4134144154164237[RCR]^{1,2,3}),1,4)</f>
        <v>102.03496503496498</v>
      </c>
      <c r="BW29">
        <f>INDEX(LINEST(Table2x4134144154164237[CU14],Table2x4134144154164237[RCR]^{1,2,3}),1,4)</f>
        <v>102.13986013986013</v>
      </c>
      <c r="BY29" t="s">
        <v>221</v>
      </c>
      <c r="BZ29" t="e">
        <f>INDEX(LINEST(Table2x4134144154165238[CU],Table2x4134144154165238[RCR]^{1,2,3}),1,4)</f>
        <v>#VALUE!</v>
      </c>
      <c r="CA29" t="e">
        <f>INDEX(LINEST(Table2x4134144154165238[CU1],Table2x4134144154165238[RCR]^{1,2,3}),1,4)</f>
        <v>#VALUE!</v>
      </c>
      <c r="CB29" t="e">
        <f>INDEX(LINEST(Table2x4134144154165238[CU2],Table2x4134144154165238[RCR]^{1,2,3}),1,4)</f>
        <v>#VALUE!</v>
      </c>
      <c r="CC29" t="e">
        <f>INDEX(LINEST(Table2x4134144154165238[CU3],Table2x4134144154165238[RCR]^{1,2,3}),1,4)</f>
        <v>#VALUE!</v>
      </c>
      <c r="CD29" t="e">
        <f>INDEX(LINEST(Table2x4134144154165238[CU4],Table2x4134144154165238[RCR]^{1,2,3}),1,4)</f>
        <v>#VALUE!</v>
      </c>
      <c r="CE29" t="e">
        <f>INDEX(LINEST(Table2x4134144154165238[CU5],Table2x4134144154165238[RCR]^{1,2,3}),1,4)</f>
        <v>#VALUE!</v>
      </c>
      <c r="CF29" t="e">
        <f>INDEX(LINEST(Table2x4134144154165238[CU6],Table2x4134144154165238[RCR]^{1,2,3}),1,4)</f>
        <v>#VALUE!</v>
      </c>
      <c r="CG29" t="e">
        <f>INDEX(LINEST(Table2x4134144154165238[CU7],Table2x4134144154165238[RCR]^{1,2,3}),1,4)</f>
        <v>#VALUE!</v>
      </c>
      <c r="CH29" t="e">
        <f>INDEX(LINEST(Table2x4134144154165238[CU8],Table2x4134144154165238[RCR]^{1,2,3}),1,4)</f>
        <v>#VALUE!</v>
      </c>
      <c r="CI29" t="e">
        <f>INDEX(LINEST(Table2x4134144154165238[CU9],Table2x4134144154165238[RCR]^{1,2,3}),1,4)</f>
        <v>#VALUE!</v>
      </c>
      <c r="CJ29" t="e">
        <f>INDEX(LINEST(Table2x4134144154165238[CU10],Table2x4134144154165238[RCR]^{1,2,3}),1,4)</f>
        <v>#VALUE!</v>
      </c>
      <c r="CK29" t="e">
        <f>INDEX(LINEST(Table2x4134144154165238[CU11],Table2x4134144154165238[RCR]^{1,2,3}),1,4)</f>
        <v>#VALUE!</v>
      </c>
      <c r="CL29" t="e">
        <f>INDEX(LINEST(Table2x4134144154165238[CU12],Table2x4134144154165238[RCR]^{1,2,3}),1,4)</f>
        <v>#VALUE!</v>
      </c>
      <c r="CM29" t="e">
        <f>INDEX(LINEST(Table2x4134144154165238[CU13],Table2x4134144154165238[RCR]^{1,2,3}),1,4)</f>
        <v>#VALUE!</v>
      </c>
      <c r="CN29" t="e">
        <f>INDEX(LINEST(Table2x4134144154165238[CU14],Table2x4134144154165238[RCR]^{1,2,3}),1,4)</f>
        <v>#VALUE!</v>
      </c>
      <c r="CP29" t="s">
        <v>221</v>
      </c>
      <c r="CQ29" t="e">
        <f>INDEX(LINEST(Table2x4134144154166239[CU],Table2x4134144154166239[RCR]^{1,2,3}),1,4)</f>
        <v>#VALUE!</v>
      </c>
      <c r="CR29" t="e">
        <f>INDEX(LINEST(Table2x4134144154166239[CU1],Table2x4134144154166239[RCR]^{1,2,3}),1,4)</f>
        <v>#VALUE!</v>
      </c>
      <c r="CS29" t="e">
        <f>INDEX(LINEST(Table2x4134144154166239[CU2],Table2x4134144154166239[RCR]^{1,2,3}),1,4)</f>
        <v>#VALUE!</v>
      </c>
      <c r="CT29" t="e">
        <f>INDEX(LINEST(Table2x4134144154166239[CU3],Table2x4134144154166239[RCR]^{1,2,3}),1,4)</f>
        <v>#VALUE!</v>
      </c>
      <c r="CU29" t="e">
        <f>INDEX(LINEST(Table2x4134144154166239[CU4],Table2x4134144154166239[RCR]^{1,2,3}),1,4)</f>
        <v>#VALUE!</v>
      </c>
      <c r="CV29" t="e">
        <f>INDEX(LINEST(Table2x4134144154166239[CU5],Table2x4134144154166239[RCR]^{1,2,3}),1,4)</f>
        <v>#VALUE!</v>
      </c>
      <c r="CW29" t="e">
        <f>INDEX(LINEST(Table2x4134144154166239[CU6],Table2x4134144154166239[RCR]^{1,2,3}),1,4)</f>
        <v>#VALUE!</v>
      </c>
      <c r="CX29" t="e">
        <f>INDEX(LINEST(Table2x4134144154166239[CU7],Table2x4134144154166239[RCR]^{1,2,3}),1,4)</f>
        <v>#VALUE!</v>
      </c>
      <c r="CY29" t="e">
        <f>INDEX(LINEST(Table2x4134144154166239[CU8],Table2x4134144154166239[RCR]^{1,2,3}),1,4)</f>
        <v>#VALUE!</v>
      </c>
      <c r="CZ29" t="e">
        <f>INDEX(LINEST(Table2x4134144154166239[CU9],Table2x4134144154166239[RCR]^{1,2,3}),1,4)</f>
        <v>#VALUE!</v>
      </c>
      <c r="DA29" t="e">
        <f>INDEX(LINEST(Table2x4134144154166239[CU10],Table2x4134144154166239[RCR]^{1,2,3}),1,4)</f>
        <v>#VALUE!</v>
      </c>
      <c r="DB29" t="e">
        <f>INDEX(LINEST(Table2x4134144154166239[CU11],Table2x4134144154166239[RCR]^{1,2,3}),1,4)</f>
        <v>#VALUE!</v>
      </c>
      <c r="DC29" t="e">
        <f>INDEX(LINEST(Table2x4134144154166239[CU12],Table2x4134144154166239[RCR]^{1,2,3}),1,4)</f>
        <v>#VALUE!</v>
      </c>
      <c r="DD29" t="e">
        <f>INDEX(LINEST(Table2x4134144154166239[CU13],Table2x4134144154166239[RCR]^{1,2,3}),1,4)</f>
        <v>#VALUE!</v>
      </c>
      <c r="DE29" t="e">
        <f>INDEX(LINEST(Table2x4134144154166239[CU14],Table2x4134144154166239[RCR]^{1,2,3}),1,4)</f>
        <v>#VALUE!</v>
      </c>
    </row>
    <row r="30" spans="1:114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6">$C$16</f>
        <v>#DIV/0!</v>
      </c>
      <c r="K30" t="e">
        <f t="shared" si="6"/>
        <v>#DIV/0!</v>
      </c>
      <c r="L30" t="e">
        <f t="shared" si="6"/>
        <v>#DIV/0!</v>
      </c>
      <c r="M30" t="e">
        <f t="shared" si="6"/>
        <v>#DIV/0!</v>
      </c>
      <c r="N30" t="e">
        <f t="shared" si="6"/>
        <v>#DIV/0!</v>
      </c>
      <c r="O30" t="e">
        <f t="shared" si="6"/>
        <v>#DIV/0!</v>
      </c>
      <c r="P30" t="e">
        <f t="shared" si="6"/>
        <v>#DIV/0!</v>
      </c>
      <c r="Q30" t="e">
        <f t="shared" si="6"/>
        <v>#DIV/0!</v>
      </c>
      <c r="R30" t="e">
        <f t="shared" si="6"/>
        <v>#DIV/0!</v>
      </c>
      <c r="S30" t="e">
        <f t="shared" si="6"/>
        <v>#DIV/0!</v>
      </c>
      <c r="T30" t="e">
        <f t="shared" si="6"/>
        <v>#DIV/0!</v>
      </c>
      <c r="U30" t="e">
        <f t="shared" si="6"/>
        <v>#DIV/0!</v>
      </c>
      <c r="V30" t="e">
        <f t="shared" si="6"/>
        <v>#DIV/0!</v>
      </c>
      <c r="W30" t="e">
        <f t="shared" si="6"/>
        <v>#DIV/0!</v>
      </c>
      <c r="X30" t="e">
        <f t="shared" si="6"/>
        <v>#DIV/0!</v>
      </c>
      <c r="Z30" t="s">
        <v>222</v>
      </c>
      <c r="AA30" t="e">
        <f t="shared" ref="AA30:AO30" si="7">$C$16</f>
        <v>#DIV/0!</v>
      </c>
      <c r="AB30" t="e">
        <f t="shared" si="7"/>
        <v>#DIV/0!</v>
      </c>
      <c r="AC30" t="e">
        <f t="shared" si="7"/>
        <v>#DIV/0!</v>
      </c>
      <c r="AD30" t="e">
        <f t="shared" si="7"/>
        <v>#DIV/0!</v>
      </c>
      <c r="AE30" t="e">
        <f t="shared" si="7"/>
        <v>#DIV/0!</v>
      </c>
      <c r="AF30" t="e">
        <f t="shared" si="7"/>
        <v>#DIV/0!</v>
      </c>
      <c r="AG30" t="e">
        <f t="shared" si="7"/>
        <v>#DIV/0!</v>
      </c>
      <c r="AH30" t="e">
        <f t="shared" si="7"/>
        <v>#DIV/0!</v>
      </c>
      <c r="AI30" t="e">
        <f t="shared" si="7"/>
        <v>#DIV/0!</v>
      </c>
      <c r="AJ30" t="e">
        <f t="shared" si="7"/>
        <v>#DIV/0!</v>
      </c>
      <c r="AK30" t="e">
        <f t="shared" si="7"/>
        <v>#DIV/0!</v>
      </c>
      <c r="AL30" t="e">
        <f t="shared" si="7"/>
        <v>#DIV/0!</v>
      </c>
      <c r="AM30" t="e">
        <f t="shared" si="7"/>
        <v>#DIV/0!</v>
      </c>
      <c r="AN30" t="e">
        <f t="shared" si="7"/>
        <v>#DIV/0!</v>
      </c>
      <c r="AO30" t="e">
        <f t="shared" si="7"/>
        <v>#DIV/0!</v>
      </c>
      <c r="AQ30" t="s">
        <v>222</v>
      </c>
      <c r="AR30" t="e">
        <f t="shared" ref="AR30:BF30" si="8">$C$16</f>
        <v>#DIV/0!</v>
      </c>
      <c r="AS30" t="e">
        <f t="shared" si="8"/>
        <v>#DIV/0!</v>
      </c>
      <c r="AT30" t="e">
        <f t="shared" si="8"/>
        <v>#DIV/0!</v>
      </c>
      <c r="AU30" t="e">
        <f t="shared" si="8"/>
        <v>#DIV/0!</v>
      </c>
      <c r="AV30" t="e">
        <f t="shared" si="8"/>
        <v>#DIV/0!</v>
      </c>
      <c r="AW30" t="e">
        <f t="shared" si="8"/>
        <v>#DIV/0!</v>
      </c>
      <c r="AX30" t="e">
        <f t="shared" si="8"/>
        <v>#DIV/0!</v>
      </c>
      <c r="AY30" t="e">
        <f t="shared" si="8"/>
        <v>#DIV/0!</v>
      </c>
      <c r="AZ30" t="e">
        <f t="shared" si="8"/>
        <v>#DIV/0!</v>
      </c>
      <c r="BA30" t="e">
        <f t="shared" si="8"/>
        <v>#DIV/0!</v>
      </c>
      <c r="BB30" t="e">
        <f t="shared" si="8"/>
        <v>#DIV/0!</v>
      </c>
      <c r="BC30" t="e">
        <f t="shared" si="8"/>
        <v>#DIV/0!</v>
      </c>
      <c r="BD30" t="e">
        <f t="shared" si="8"/>
        <v>#DIV/0!</v>
      </c>
      <c r="BE30" t="e">
        <f t="shared" si="8"/>
        <v>#DIV/0!</v>
      </c>
      <c r="BF30" t="e">
        <f t="shared" si="8"/>
        <v>#DIV/0!</v>
      </c>
      <c r="BH30" t="s">
        <v>222</v>
      </c>
      <c r="BI30" t="e">
        <f t="shared" ref="BI30:BW30" si="9">$C$16</f>
        <v>#DIV/0!</v>
      </c>
      <c r="BJ30" t="e">
        <f t="shared" si="9"/>
        <v>#DIV/0!</v>
      </c>
      <c r="BK30" t="e">
        <f t="shared" si="9"/>
        <v>#DIV/0!</v>
      </c>
      <c r="BL30" t="e">
        <f t="shared" si="9"/>
        <v>#DIV/0!</v>
      </c>
      <c r="BM30" t="e">
        <f t="shared" si="9"/>
        <v>#DIV/0!</v>
      </c>
      <c r="BN30" t="e">
        <f t="shared" si="9"/>
        <v>#DIV/0!</v>
      </c>
      <c r="BO30" t="e">
        <f t="shared" si="9"/>
        <v>#DIV/0!</v>
      </c>
      <c r="BP30" t="e">
        <f t="shared" si="9"/>
        <v>#DIV/0!</v>
      </c>
      <c r="BQ30" t="e">
        <f t="shared" si="9"/>
        <v>#DIV/0!</v>
      </c>
      <c r="BR30" t="e">
        <f t="shared" si="9"/>
        <v>#DIV/0!</v>
      </c>
      <c r="BS30" t="e">
        <f t="shared" si="9"/>
        <v>#DIV/0!</v>
      </c>
      <c r="BT30" t="e">
        <f t="shared" si="9"/>
        <v>#DIV/0!</v>
      </c>
      <c r="BU30" t="e">
        <f t="shared" si="9"/>
        <v>#DIV/0!</v>
      </c>
      <c r="BV30" t="e">
        <f t="shared" si="9"/>
        <v>#DIV/0!</v>
      </c>
      <c r="BW30" t="e">
        <f t="shared" si="9"/>
        <v>#DIV/0!</v>
      </c>
      <c r="BY30" t="s">
        <v>222</v>
      </c>
      <c r="BZ30" t="e">
        <f t="shared" ref="BZ30:CN30" si="10">$C$16</f>
        <v>#DIV/0!</v>
      </c>
      <c r="CA30" t="e">
        <f t="shared" si="10"/>
        <v>#DIV/0!</v>
      </c>
      <c r="CB30" t="e">
        <f t="shared" si="10"/>
        <v>#DIV/0!</v>
      </c>
      <c r="CC30" t="e">
        <f t="shared" si="10"/>
        <v>#DIV/0!</v>
      </c>
      <c r="CD30" t="e">
        <f t="shared" si="10"/>
        <v>#DIV/0!</v>
      </c>
      <c r="CE30" t="e">
        <f t="shared" si="10"/>
        <v>#DIV/0!</v>
      </c>
      <c r="CF30" t="e">
        <f t="shared" si="10"/>
        <v>#DIV/0!</v>
      </c>
      <c r="CG30" t="e">
        <f t="shared" si="10"/>
        <v>#DIV/0!</v>
      </c>
      <c r="CH30" t="e">
        <f t="shared" si="10"/>
        <v>#DIV/0!</v>
      </c>
      <c r="CI30" t="e">
        <f t="shared" si="10"/>
        <v>#DIV/0!</v>
      </c>
      <c r="CJ30" t="e">
        <f t="shared" si="10"/>
        <v>#DIV/0!</v>
      </c>
      <c r="CK30" t="e">
        <f t="shared" si="10"/>
        <v>#DIV/0!</v>
      </c>
      <c r="CL30" t="e">
        <f t="shared" si="10"/>
        <v>#DIV/0!</v>
      </c>
      <c r="CM30" t="e">
        <f t="shared" si="10"/>
        <v>#DIV/0!</v>
      </c>
      <c r="CN30" t="e">
        <f t="shared" si="10"/>
        <v>#DIV/0!</v>
      </c>
      <c r="CP30" t="s">
        <v>222</v>
      </c>
      <c r="CQ30" t="e">
        <f t="shared" ref="CQ30:DE30" si="11">$C$16</f>
        <v>#DIV/0!</v>
      </c>
      <c r="CR30" t="e">
        <f t="shared" si="11"/>
        <v>#DIV/0!</v>
      </c>
      <c r="CS30" t="e">
        <f t="shared" si="11"/>
        <v>#DIV/0!</v>
      </c>
      <c r="CT30" t="e">
        <f t="shared" si="11"/>
        <v>#DIV/0!</v>
      </c>
      <c r="CU30" t="e">
        <f t="shared" si="11"/>
        <v>#DIV/0!</v>
      </c>
      <c r="CV30" t="e">
        <f t="shared" si="11"/>
        <v>#DIV/0!</v>
      </c>
      <c r="CW30" t="e">
        <f t="shared" si="11"/>
        <v>#DIV/0!</v>
      </c>
      <c r="CX30" t="e">
        <f t="shared" si="11"/>
        <v>#DIV/0!</v>
      </c>
      <c r="CY30" t="e">
        <f t="shared" si="11"/>
        <v>#DIV/0!</v>
      </c>
      <c r="CZ30" t="e">
        <f t="shared" si="11"/>
        <v>#DIV/0!</v>
      </c>
      <c r="DA30" t="e">
        <f t="shared" si="11"/>
        <v>#DIV/0!</v>
      </c>
      <c r="DB30" t="e">
        <f t="shared" si="11"/>
        <v>#DIV/0!</v>
      </c>
      <c r="DC30" t="e">
        <f t="shared" si="11"/>
        <v>#DIV/0!</v>
      </c>
      <c r="DD30" t="e">
        <f t="shared" si="11"/>
        <v>#DIV/0!</v>
      </c>
      <c r="DE30" t="e">
        <f t="shared" si="11"/>
        <v>#DIV/0!</v>
      </c>
      <c r="DF30" s="27"/>
      <c r="DG30" s="27"/>
      <c r="DH30" s="27"/>
      <c r="DI30" s="27"/>
      <c r="DJ30" s="27"/>
    </row>
    <row r="31" spans="1:114" x14ac:dyDescent="0.25">
      <c r="B31" t="s">
        <v>10</v>
      </c>
      <c r="C31" s="22"/>
      <c r="H31" s="5"/>
    </row>
    <row r="32" spans="1:114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724</v>
      </c>
      <c r="M32" t="s">
        <v>13</v>
      </c>
    </row>
    <row r="33" spans="1:114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4</v>
      </c>
      <c r="L33" t="s">
        <v>116</v>
      </c>
      <c r="M33" t="e">
        <f>J25</f>
        <v>#DIV/0!</v>
      </c>
    </row>
    <row r="34" spans="1:114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4</v>
      </c>
      <c r="L34" t="s">
        <v>116</v>
      </c>
      <c r="M34" t="e">
        <f>K25</f>
        <v>#DIV/0!</v>
      </c>
    </row>
    <row r="35" spans="1:114" x14ac:dyDescent="0.25">
      <c r="C35" s="14"/>
      <c r="H35" t="s">
        <v>17</v>
      </c>
      <c r="I35">
        <v>80</v>
      </c>
      <c r="J35">
        <v>10</v>
      </c>
      <c r="K35">
        <v>4</v>
      </c>
      <c r="L35" t="s">
        <v>116</v>
      </c>
      <c r="M35" t="e">
        <f>L25</f>
        <v>#DIV/0!</v>
      </c>
    </row>
    <row r="36" spans="1:114" x14ac:dyDescent="0.25">
      <c r="C36" s="1"/>
      <c r="H36" t="s">
        <v>18</v>
      </c>
      <c r="I36">
        <v>70</v>
      </c>
      <c r="J36">
        <v>50</v>
      </c>
      <c r="K36">
        <v>4</v>
      </c>
      <c r="L36" t="s">
        <v>116</v>
      </c>
      <c r="M36" t="e">
        <f>M25</f>
        <v>#DIV/0!</v>
      </c>
    </row>
    <row r="37" spans="1:114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4</v>
      </c>
      <c r="L37" t="s">
        <v>116</v>
      </c>
      <c r="M37" t="e">
        <f>N25</f>
        <v>#DIV/0!</v>
      </c>
      <c r="DF37" s="27"/>
      <c r="DG37" s="27"/>
      <c r="DH37" s="27"/>
      <c r="DI37" s="27"/>
      <c r="DJ37" s="27"/>
    </row>
    <row r="38" spans="1:114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4</v>
      </c>
      <c r="L38" t="s">
        <v>116</v>
      </c>
      <c r="M38" t="e">
        <f>O25</f>
        <v>#DIV/0!</v>
      </c>
    </row>
    <row r="39" spans="1:114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4</v>
      </c>
      <c r="L39" t="s">
        <v>116</v>
      </c>
      <c r="M39" t="e">
        <f>P25</f>
        <v>#DIV/0!</v>
      </c>
    </row>
    <row r="40" spans="1:114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4</v>
      </c>
      <c r="L40" t="s">
        <v>116</v>
      </c>
      <c r="M40" t="e">
        <f>Q25</f>
        <v>#DIV/0!</v>
      </c>
    </row>
    <row r="41" spans="1:114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4</v>
      </c>
      <c r="L41" t="s">
        <v>116</v>
      </c>
      <c r="M41" t="e">
        <f>R25</f>
        <v>#DIV/0!</v>
      </c>
    </row>
    <row r="42" spans="1:114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4</v>
      </c>
      <c r="L42" t="s">
        <v>116</v>
      </c>
      <c r="M42" t="e">
        <f>S25</f>
        <v>#DIV/0!</v>
      </c>
    </row>
    <row r="43" spans="1:114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4</v>
      </c>
      <c r="L43" t="s">
        <v>116</v>
      </c>
      <c r="M43" t="e">
        <f>T25</f>
        <v>#DIV/0!</v>
      </c>
    </row>
    <row r="44" spans="1:114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1.28</v>
      </c>
      <c r="F44" s="12">
        <f>E44*(C14-C15)</f>
        <v>-3.2</v>
      </c>
      <c r="H44" t="s">
        <v>25</v>
      </c>
      <c r="I44">
        <v>30</v>
      </c>
      <c r="J44">
        <v>10</v>
      </c>
      <c r="K44">
        <v>4</v>
      </c>
      <c r="L44" t="s">
        <v>116</v>
      </c>
      <c r="M44" t="e">
        <f>U25</f>
        <v>#DIV/0!</v>
      </c>
    </row>
    <row r="45" spans="1:114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</v>
      </c>
      <c r="F45" s="12">
        <f>E45*(C14-C15)</f>
        <v>-3.25</v>
      </c>
      <c r="H45" t="s">
        <v>27</v>
      </c>
      <c r="I45">
        <v>10</v>
      </c>
      <c r="J45">
        <v>50</v>
      </c>
      <c r="K45">
        <v>4</v>
      </c>
      <c r="L45" t="s">
        <v>116</v>
      </c>
      <c r="M45" t="e">
        <f>V25</f>
        <v>#DIV/0!</v>
      </c>
    </row>
    <row r="46" spans="1:114" x14ac:dyDescent="0.25">
      <c r="B46" t="s">
        <v>1346</v>
      </c>
      <c r="C46" s="1" t="e">
        <f>IF(C39=1,C11/2,C44/2)</f>
        <v>#N/A</v>
      </c>
      <c r="D46" t="s">
        <v>8</v>
      </c>
      <c r="H46" t="s">
        <v>28</v>
      </c>
      <c r="I46">
        <v>10</v>
      </c>
      <c r="J46">
        <v>30</v>
      </c>
      <c r="K46">
        <v>4</v>
      </c>
      <c r="L46" t="s">
        <v>116</v>
      </c>
      <c r="M46" t="e">
        <f>W25</f>
        <v>#DIV/0!</v>
      </c>
    </row>
    <row r="47" spans="1:114" x14ac:dyDescent="0.25">
      <c r="B47" t="s">
        <v>1347</v>
      </c>
      <c r="C47" s="1" t="e">
        <f>IF(C40=1,C12/2,C45/2)</f>
        <v>#N/A</v>
      </c>
      <c r="D47" t="s">
        <v>8</v>
      </c>
      <c r="H47" t="s">
        <v>29</v>
      </c>
      <c r="I47">
        <v>10</v>
      </c>
      <c r="J47">
        <v>10</v>
      </c>
      <c r="K47">
        <v>4</v>
      </c>
      <c r="L47" t="s">
        <v>116</v>
      </c>
      <c r="M47" t="e">
        <f>X25</f>
        <v>#DIV/0!</v>
      </c>
    </row>
    <row r="48" spans="1:114" ht="15" customHeight="1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</v>
      </c>
      <c r="L48" t="s">
        <v>116</v>
      </c>
      <c r="M48" t="e">
        <f>AA25</f>
        <v>#DIV/0!</v>
      </c>
    </row>
    <row r="49" spans="1:13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</v>
      </c>
      <c r="L49" t="s">
        <v>116</v>
      </c>
      <c r="M49" t="e">
        <f>AB25</f>
        <v>#DIV/0!</v>
      </c>
    </row>
    <row r="50" spans="1:13" x14ac:dyDescent="0.25">
      <c r="H50" t="s">
        <v>17</v>
      </c>
      <c r="I50">
        <v>80</v>
      </c>
      <c r="J50">
        <v>10</v>
      </c>
      <c r="K50">
        <v>2</v>
      </c>
      <c r="L50" t="s">
        <v>116</v>
      </c>
      <c r="M50" t="e">
        <f>AC25</f>
        <v>#DIV/0!</v>
      </c>
    </row>
    <row r="51" spans="1:13" x14ac:dyDescent="0.25">
      <c r="A51" s="36" t="s">
        <v>141</v>
      </c>
      <c r="B51" s="36"/>
      <c r="C51" s="36"/>
      <c r="D51" s="36"/>
      <c r="H51" t="s">
        <v>18</v>
      </c>
      <c r="I51">
        <v>70</v>
      </c>
      <c r="J51">
        <v>50</v>
      </c>
      <c r="K51">
        <v>2</v>
      </c>
      <c r="L51" t="s">
        <v>116</v>
      </c>
      <c r="M51" t="e">
        <f>AD25</f>
        <v>#DIV/0!</v>
      </c>
    </row>
    <row r="52" spans="1:13" x14ac:dyDescent="0.25">
      <c r="A52" s="36"/>
      <c r="B52" s="36"/>
      <c r="C52" s="36"/>
      <c r="D52" s="36"/>
      <c r="H52" t="s">
        <v>19</v>
      </c>
      <c r="I52">
        <v>70</v>
      </c>
      <c r="J52">
        <v>30</v>
      </c>
      <c r="K52">
        <v>2</v>
      </c>
      <c r="L52" t="s">
        <v>116</v>
      </c>
      <c r="M52" t="e">
        <f>AE25</f>
        <v>#DIV/0!</v>
      </c>
    </row>
    <row r="53" spans="1:13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</v>
      </c>
      <c r="L53" t="s">
        <v>116</v>
      </c>
      <c r="M53" t="e">
        <f>AF25</f>
        <v>#DIV/0!</v>
      </c>
    </row>
    <row r="54" spans="1:13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</v>
      </c>
      <c r="L54" t="s">
        <v>116</v>
      </c>
      <c r="M54" t="e">
        <f>AG25</f>
        <v>#DIV/0!</v>
      </c>
    </row>
    <row r="55" spans="1:13" x14ac:dyDescent="0.25">
      <c r="A55" s="25"/>
      <c r="B55" s="25"/>
      <c r="C55" s="25"/>
      <c r="D55" s="25"/>
      <c r="H55" t="s">
        <v>22</v>
      </c>
      <c r="I55">
        <v>50</v>
      </c>
      <c r="J55">
        <v>30</v>
      </c>
      <c r="K55">
        <v>2</v>
      </c>
      <c r="L55" t="s">
        <v>116</v>
      </c>
      <c r="M55" t="e">
        <f>AH25</f>
        <v>#DIV/0!</v>
      </c>
    </row>
    <row r="56" spans="1:13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</v>
      </c>
      <c r="L56" t="s">
        <v>116</v>
      </c>
      <c r="M56" t="e">
        <f>AI25</f>
        <v>#DIV/0!</v>
      </c>
    </row>
    <row r="57" spans="1:13" x14ac:dyDescent="0.25">
      <c r="H57" t="s">
        <v>24</v>
      </c>
      <c r="I57">
        <v>30</v>
      </c>
      <c r="J57">
        <v>50</v>
      </c>
      <c r="K57">
        <v>2</v>
      </c>
      <c r="L57" t="s">
        <v>116</v>
      </c>
      <c r="M57" t="e">
        <f>AJ25</f>
        <v>#DIV/0!</v>
      </c>
    </row>
    <row r="58" spans="1:13" x14ac:dyDescent="0.25">
      <c r="H58" t="s">
        <v>26</v>
      </c>
      <c r="I58">
        <v>30</v>
      </c>
      <c r="J58">
        <v>30</v>
      </c>
      <c r="K58">
        <v>2</v>
      </c>
      <c r="L58" t="s">
        <v>116</v>
      </c>
      <c r="M58" t="e">
        <f>AK25</f>
        <v>#DIV/0!</v>
      </c>
    </row>
    <row r="59" spans="1:13" x14ac:dyDescent="0.25">
      <c r="H59" t="s">
        <v>25</v>
      </c>
      <c r="I59">
        <v>30</v>
      </c>
      <c r="J59">
        <v>10</v>
      </c>
      <c r="K59">
        <v>2</v>
      </c>
      <c r="L59" t="s">
        <v>116</v>
      </c>
      <c r="M59" t="e">
        <f>AL25</f>
        <v>#DIV/0!</v>
      </c>
    </row>
    <row r="60" spans="1:13" x14ac:dyDescent="0.25">
      <c r="H60" t="s">
        <v>27</v>
      </c>
      <c r="I60">
        <v>10</v>
      </c>
      <c r="J60">
        <v>50</v>
      </c>
      <c r="K60">
        <v>2</v>
      </c>
      <c r="L60" t="s">
        <v>116</v>
      </c>
      <c r="M60" t="e">
        <f>AM25</f>
        <v>#DIV/0!</v>
      </c>
    </row>
    <row r="61" spans="1:13" x14ac:dyDescent="0.25">
      <c r="H61" t="s">
        <v>28</v>
      </c>
      <c r="I61">
        <v>10</v>
      </c>
      <c r="J61">
        <v>30</v>
      </c>
      <c r="K61">
        <v>2</v>
      </c>
      <c r="L61" t="s">
        <v>116</v>
      </c>
      <c r="M61" t="e">
        <f>AN25</f>
        <v>#DIV/0!</v>
      </c>
    </row>
    <row r="62" spans="1:13" x14ac:dyDescent="0.25">
      <c r="H62" t="s">
        <v>29</v>
      </c>
      <c r="I62">
        <v>10</v>
      </c>
      <c r="J62">
        <v>10</v>
      </c>
      <c r="K62">
        <v>2</v>
      </c>
      <c r="L62" t="s">
        <v>116</v>
      </c>
      <c r="M62" t="e">
        <f>AO25</f>
        <v>#DIV/0!</v>
      </c>
    </row>
    <row r="63" spans="1:13" x14ac:dyDescent="0.25">
      <c r="H63" t="s">
        <v>13</v>
      </c>
      <c r="I63">
        <v>80</v>
      </c>
      <c r="J63">
        <v>50</v>
      </c>
      <c r="K63">
        <v>4</v>
      </c>
      <c r="L63" t="s">
        <v>115</v>
      </c>
      <c r="M63" t="e">
        <f>AR25</f>
        <v>#DIV/0!</v>
      </c>
    </row>
    <row r="64" spans="1:13" x14ac:dyDescent="0.25">
      <c r="H64" t="s">
        <v>16</v>
      </c>
      <c r="I64">
        <v>80</v>
      </c>
      <c r="J64">
        <v>30</v>
      </c>
      <c r="K64">
        <v>4</v>
      </c>
      <c r="L64" t="s">
        <v>115</v>
      </c>
      <c r="M64" t="e">
        <f>AS25</f>
        <v>#DIV/0!</v>
      </c>
    </row>
    <row r="65" spans="8:13" x14ac:dyDescent="0.25">
      <c r="H65" t="s">
        <v>17</v>
      </c>
      <c r="I65">
        <v>80</v>
      </c>
      <c r="J65">
        <v>10</v>
      </c>
      <c r="K65">
        <v>4</v>
      </c>
      <c r="L65" t="s">
        <v>115</v>
      </c>
      <c r="M65" t="e">
        <f>AT25</f>
        <v>#DIV/0!</v>
      </c>
    </row>
    <row r="66" spans="8:13" x14ac:dyDescent="0.25">
      <c r="H66" t="s">
        <v>18</v>
      </c>
      <c r="I66">
        <v>70</v>
      </c>
      <c r="J66">
        <v>50</v>
      </c>
      <c r="K66">
        <v>4</v>
      </c>
      <c r="L66" t="s">
        <v>115</v>
      </c>
      <c r="M66" t="e">
        <f>AU25</f>
        <v>#DIV/0!</v>
      </c>
    </row>
    <row r="67" spans="8:13" x14ac:dyDescent="0.25">
      <c r="H67" t="s">
        <v>19</v>
      </c>
      <c r="I67">
        <v>70</v>
      </c>
      <c r="J67">
        <v>30</v>
      </c>
      <c r="K67">
        <v>4</v>
      </c>
      <c r="L67" t="s">
        <v>115</v>
      </c>
      <c r="M67" t="e">
        <f>AV25</f>
        <v>#DIV/0!</v>
      </c>
    </row>
    <row r="68" spans="8:13" x14ac:dyDescent="0.25">
      <c r="H68" t="s">
        <v>20</v>
      </c>
      <c r="I68">
        <v>70</v>
      </c>
      <c r="J68">
        <v>10</v>
      </c>
      <c r="K68">
        <v>4</v>
      </c>
      <c r="L68" t="s">
        <v>115</v>
      </c>
      <c r="M68" t="e">
        <f>AW25</f>
        <v>#DIV/0!</v>
      </c>
    </row>
    <row r="69" spans="8:13" x14ac:dyDescent="0.25">
      <c r="H69" t="s">
        <v>21</v>
      </c>
      <c r="I69">
        <v>50</v>
      </c>
      <c r="J69">
        <v>50</v>
      </c>
      <c r="K69">
        <v>4</v>
      </c>
      <c r="L69" t="s">
        <v>115</v>
      </c>
      <c r="M69" t="e">
        <f>AX25</f>
        <v>#DIV/0!</v>
      </c>
    </row>
    <row r="70" spans="8:13" x14ac:dyDescent="0.25">
      <c r="H70" t="s">
        <v>22</v>
      </c>
      <c r="I70">
        <v>50</v>
      </c>
      <c r="J70">
        <v>30</v>
      </c>
      <c r="K70">
        <v>4</v>
      </c>
      <c r="L70" t="s">
        <v>115</v>
      </c>
      <c r="M70" t="e">
        <f>AY25</f>
        <v>#DIV/0!</v>
      </c>
    </row>
    <row r="71" spans="8:13" x14ac:dyDescent="0.25">
      <c r="H71" t="s">
        <v>23</v>
      </c>
      <c r="I71">
        <v>50</v>
      </c>
      <c r="J71">
        <v>10</v>
      </c>
      <c r="K71">
        <v>4</v>
      </c>
      <c r="L71" t="s">
        <v>115</v>
      </c>
      <c r="M71" t="e">
        <f>AZ25</f>
        <v>#DIV/0!</v>
      </c>
    </row>
    <row r="72" spans="8:13" x14ac:dyDescent="0.25">
      <c r="H72" t="s">
        <v>24</v>
      </c>
      <c r="I72">
        <v>30</v>
      </c>
      <c r="J72">
        <v>50</v>
      </c>
      <c r="K72">
        <v>4</v>
      </c>
      <c r="L72" t="s">
        <v>115</v>
      </c>
      <c r="M72" t="e">
        <f>BA25</f>
        <v>#DIV/0!</v>
      </c>
    </row>
    <row r="73" spans="8:13" x14ac:dyDescent="0.25">
      <c r="H73" t="s">
        <v>26</v>
      </c>
      <c r="I73">
        <v>30</v>
      </c>
      <c r="J73">
        <v>30</v>
      </c>
      <c r="K73">
        <v>4</v>
      </c>
      <c r="L73" t="s">
        <v>115</v>
      </c>
      <c r="M73" t="e">
        <f>BB25</f>
        <v>#DIV/0!</v>
      </c>
    </row>
    <row r="74" spans="8:13" x14ac:dyDescent="0.25">
      <c r="H74" t="s">
        <v>25</v>
      </c>
      <c r="I74">
        <v>30</v>
      </c>
      <c r="J74">
        <v>10</v>
      </c>
      <c r="K74">
        <v>4</v>
      </c>
      <c r="L74" t="s">
        <v>115</v>
      </c>
      <c r="M74" t="e">
        <f>BC25</f>
        <v>#DIV/0!</v>
      </c>
    </row>
    <row r="75" spans="8:13" x14ac:dyDescent="0.25">
      <c r="H75" t="s">
        <v>27</v>
      </c>
      <c r="I75">
        <v>10</v>
      </c>
      <c r="J75">
        <v>50</v>
      </c>
      <c r="K75">
        <v>4</v>
      </c>
      <c r="L75" t="s">
        <v>115</v>
      </c>
      <c r="M75" t="e">
        <f>BD25</f>
        <v>#DIV/0!</v>
      </c>
    </row>
    <row r="76" spans="8:13" x14ac:dyDescent="0.25">
      <c r="H76" t="s">
        <v>28</v>
      </c>
      <c r="I76">
        <v>10</v>
      </c>
      <c r="J76">
        <v>30</v>
      </c>
      <c r="K76">
        <v>4</v>
      </c>
      <c r="L76" t="s">
        <v>115</v>
      </c>
      <c r="M76" t="e">
        <f>BE25</f>
        <v>#DIV/0!</v>
      </c>
    </row>
    <row r="77" spans="8:13" x14ac:dyDescent="0.25">
      <c r="H77" t="s">
        <v>29</v>
      </c>
      <c r="I77">
        <v>10</v>
      </c>
      <c r="J77">
        <v>10</v>
      </c>
      <c r="K77">
        <v>4</v>
      </c>
      <c r="L77" t="s">
        <v>115</v>
      </c>
      <c r="M77" t="e">
        <f>BF25</f>
        <v>#DIV/0!</v>
      </c>
    </row>
    <row r="78" spans="8:13" x14ac:dyDescent="0.25">
      <c r="H78" t="s">
        <v>13</v>
      </c>
      <c r="I78">
        <v>80</v>
      </c>
      <c r="J78">
        <v>50</v>
      </c>
      <c r="K78">
        <v>2</v>
      </c>
      <c r="L78" t="s">
        <v>115</v>
      </c>
      <c r="M78" t="e">
        <f>BI25</f>
        <v>#DIV/0!</v>
      </c>
    </row>
    <row r="79" spans="8:13" x14ac:dyDescent="0.25">
      <c r="H79" t="s">
        <v>16</v>
      </c>
      <c r="I79">
        <v>80</v>
      </c>
      <c r="J79">
        <v>30</v>
      </c>
      <c r="K79">
        <v>2</v>
      </c>
      <c r="L79" t="s">
        <v>115</v>
      </c>
      <c r="M79" t="e">
        <f>BJ25</f>
        <v>#DIV/0!</v>
      </c>
    </row>
    <row r="80" spans="8:13" x14ac:dyDescent="0.25">
      <c r="H80" t="s">
        <v>17</v>
      </c>
      <c r="I80">
        <v>80</v>
      </c>
      <c r="J80">
        <v>10</v>
      </c>
      <c r="K80">
        <v>2</v>
      </c>
      <c r="L80" t="s">
        <v>115</v>
      </c>
      <c r="M80" t="e">
        <f>BK25</f>
        <v>#DIV/0!</v>
      </c>
    </row>
    <row r="81" spans="8:13" x14ac:dyDescent="0.25">
      <c r="H81" t="s">
        <v>18</v>
      </c>
      <c r="I81">
        <v>70</v>
      </c>
      <c r="J81">
        <v>50</v>
      </c>
      <c r="K81">
        <v>2</v>
      </c>
      <c r="L81" t="s">
        <v>115</v>
      </c>
      <c r="M81" t="e">
        <f>BL25</f>
        <v>#DIV/0!</v>
      </c>
    </row>
    <row r="82" spans="8:13" x14ac:dyDescent="0.25">
      <c r="H82" t="s">
        <v>19</v>
      </c>
      <c r="I82">
        <v>70</v>
      </c>
      <c r="J82">
        <v>30</v>
      </c>
      <c r="K82">
        <v>2</v>
      </c>
      <c r="L82" t="s">
        <v>115</v>
      </c>
      <c r="M82" t="e">
        <f>BM25</f>
        <v>#DIV/0!</v>
      </c>
    </row>
    <row r="83" spans="8:13" x14ac:dyDescent="0.25">
      <c r="H83" t="s">
        <v>20</v>
      </c>
      <c r="I83">
        <v>70</v>
      </c>
      <c r="J83">
        <v>10</v>
      </c>
      <c r="K83">
        <v>2</v>
      </c>
      <c r="L83" t="s">
        <v>115</v>
      </c>
      <c r="M83" t="e">
        <f>BN25</f>
        <v>#DIV/0!</v>
      </c>
    </row>
    <row r="84" spans="8:13" x14ac:dyDescent="0.25">
      <c r="H84" t="s">
        <v>21</v>
      </c>
      <c r="I84">
        <v>50</v>
      </c>
      <c r="J84">
        <v>50</v>
      </c>
      <c r="K84">
        <v>2</v>
      </c>
      <c r="L84" t="s">
        <v>115</v>
      </c>
      <c r="M84" t="e">
        <f>BO25</f>
        <v>#DIV/0!</v>
      </c>
    </row>
    <row r="85" spans="8:13" x14ac:dyDescent="0.25">
      <c r="H85" t="s">
        <v>22</v>
      </c>
      <c r="I85">
        <v>50</v>
      </c>
      <c r="J85">
        <v>30</v>
      </c>
      <c r="K85">
        <v>2</v>
      </c>
      <c r="L85" t="s">
        <v>115</v>
      </c>
      <c r="M85" t="e">
        <f>BP25</f>
        <v>#DIV/0!</v>
      </c>
    </row>
    <row r="86" spans="8:13" x14ac:dyDescent="0.25">
      <c r="H86" t="s">
        <v>23</v>
      </c>
      <c r="I86">
        <v>50</v>
      </c>
      <c r="J86">
        <v>10</v>
      </c>
      <c r="K86">
        <v>2</v>
      </c>
      <c r="L86" t="s">
        <v>115</v>
      </c>
      <c r="M86" t="e">
        <f>BQ25</f>
        <v>#DIV/0!</v>
      </c>
    </row>
    <row r="87" spans="8:13" x14ac:dyDescent="0.25">
      <c r="H87" t="s">
        <v>24</v>
      </c>
      <c r="I87">
        <v>30</v>
      </c>
      <c r="J87">
        <v>50</v>
      </c>
      <c r="K87">
        <v>2</v>
      </c>
      <c r="L87" t="s">
        <v>115</v>
      </c>
      <c r="M87" t="e">
        <f>BR25</f>
        <v>#DIV/0!</v>
      </c>
    </row>
    <row r="88" spans="8:13" x14ac:dyDescent="0.25">
      <c r="H88" t="s">
        <v>26</v>
      </c>
      <c r="I88">
        <v>30</v>
      </c>
      <c r="J88">
        <v>30</v>
      </c>
      <c r="K88">
        <v>2</v>
      </c>
      <c r="L88" t="s">
        <v>115</v>
      </c>
      <c r="M88" t="e">
        <f>BS25</f>
        <v>#DIV/0!</v>
      </c>
    </row>
    <row r="89" spans="8:13" x14ac:dyDescent="0.25">
      <c r="H89" t="s">
        <v>25</v>
      </c>
      <c r="I89">
        <v>30</v>
      </c>
      <c r="J89">
        <v>10</v>
      </c>
      <c r="K89">
        <v>2</v>
      </c>
      <c r="L89" t="s">
        <v>115</v>
      </c>
      <c r="M89" t="e">
        <f>BT25</f>
        <v>#DIV/0!</v>
      </c>
    </row>
    <row r="90" spans="8:13" x14ac:dyDescent="0.25">
      <c r="H90" t="s">
        <v>27</v>
      </c>
      <c r="I90">
        <v>10</v>
      </c>
      <c r="J90">
        <v>50</v>
      </c>
      <c r="K90">
        <v>2</v>
      </c>
      <c r="L90" t="s">
        <v>115</v>
      </c>
      <c r="M90" t="e">
        <f>BU25</f>
        <v>#DIV/0!</v>
      </c>
    </row>
    <row r="91" spans="8:13" x14ac:dyDescent="0.25">
      <c r="H91" t="s">
        <v>28</v>
      </c>
      <c r="I91">
        <v>10</v>
      </c>
      <c r="J91">
        <v>30</v>
      </c>
      <c r="K91">
        <v>2</v>
      </c>
      <c r="L91" t="s">
        <v>115</v>
      </c>
      <c r="M91" t="e">
        <f>BV25</f>
        <v>#DIV/0!</v>
      </c>
    </row>
    <row r="92" spans="8:13" x14ac:dyDescent="0.25">
      <c r="H92" t="s">
        <v>29</v>
      </c>
      <c r="I92">
        <v>10</v>
      </c>
      <c r="J92">
        <v>10</v>
      </c>
      <c r="K92">
        <v>2</v>
      </c>
      <c r="L92" t="s">
        <v>115</v>
      </c>
      <c r="M92" t="e">
        <f>BW25</f>
        <v>#DIV/0!</v>
      </c>
    </row>
    <row r="93" spans="8:13" x14ac:dyDescent="0.25">
      <c r="H93" t="s">
        <v>13</v>
      </c>
      <c r="I93">
        <v>80</v>
      </c>
      <c r="J93">
        <v>50</v>
      </c>
      <c r="M93" t="e">
        <f>BZ25</f>
        <v>#VALUE!</v>
      </c>
    </row>
    <row r="94" spans="8:13" x14ac:dyDescent="0.25">
      <c r="H94" t="s">
        <v>16</v>
      </c>
      <c r="I94">
        <v>80</v>
      </c>
      <c r="J94">
        <v>30</v>
      </c>
      <c r="M94" t="e">
        <f>CA25</f>
        <v>#VALUE!</v>
      </c>
    </row>
    <row r="95" spans="8:13" x14ac:dyDescent="0.25">
      <c r="H95" t="s">
        <v>17</v>
      </c>
      <c r="I95">
        <v>80</v>
      </c>
      <c r="J95">
        <v>10</v>
      </c>
      <c r="M95" t="e">
        <f>CB25</f>
        <v>#VALUE!</v>
      </c>
    </row>
    <row r="96" spans="8:13" x14ac:dyDescent="0.25">
      <c r="H96" t="s">
        <v>18</v>
      </c>
      <c r="I96">
        <v>70</v>
      </c>
      <c r="J96">
        <v>50</v>
      </c>
      <c r="M96" t="e">
        <f>CC25</f>
        <v>#VALUE!</v>
      </c>
    </row>
    <row r="97" spans="8:13" x14ac:dyDescent="0.25">
      <c r="H97" t="s">
        <v>19</v>
      </c>
      <c r="I97">
        <v>70</v>
      </c>
      <c r="J97">
        <v>30</v>
      </c>
      <c r="M97" t="e">
        <f>CD25</f>
        <v>#VALUE!</v>
      </c>
    </row>
    <row r="98" spans="8:13" x14ac:dyDescent="0.25">
      <c r="H98" t="s">
        <v>20</v>
      </c>
      <c r="I98">
        <v>70</v>
      </c>
      <c r="J98">
        <v>10</v>
      </c>
      <c r="M98" t="e">
        <f>CE25</f>
        <v>#VALUE!</v>
      </c>
    </row>
    <row r="99" spans="8:13" x14ac:dyDescent="0.25">
      <c r="H99" t="s">
        <v>21</v>
      </c>
      <c r="I99">
        <v>50</v>
      </c>
      <c r="J99">
        <v>50</v>
      </c>
      <c r="M99" t="e">
        <f>CF25</f>
        <v>#VALUE!</v>
      </c>
    </row>
    <row r="100" spans="8:13" x14ac:dyDescent="0.25">
      <c r="H100" t="s">
        <v>22</v>
      </c>
      <c r="I100">
        <v>50</v>
      </c>
      <c r="J100">
        <v>30</v>
      </c>
      <c r="M100" t="e">
        <f>CG25</f>
        <v>#VALUE!</v>
      </c>
    </row>
    <row r="101" spans="8:13" x14ac:dyDescent="0.25">
      <c r="H101" t="s">
        <v>23</v>
      </c>
      <c r="I101">
        <v>50</v>
      </c>
      <c r="J101">
        <v>10</v>
      </c>
      <c r="M101" t="e">
        <f>CH25</f>
        <v>#VALUE!</v>
      </c>
    </row>
    <row r="102" spans="8:13" x14ac:dyDescent="0.25">
      <c r="H102" t="s">
        <v>24</v>
      </c>
      <c r="I102">
        <v>30</v>
      </c>
      <c r="J102">
        <v>50</v>
      </c>
      <c r="M102" t="e">
        <f>CI25</f>
        <v>#VALUE!</v>
      </c>
    </row>
    <row r="103" spans="8:13" x14ac:dyDescent="0.25">
      <c r="H103" t="s">
        <v>26</v>
      </c>
      <c r="I103">
        <v>30</v>
      </c>
      <c r="J103">
        <v>30</v>
      </c>
      <c r="M103" t="e">
        <f>CJ25</f>
        <v>#VALUE!</v>
      </c>
    </row>
    <row r="104" spans="8:13" x14ac:dyDescent="0.25">
      <c r="H104" t="s">
        <v>25</v>
      </c>
      <c r="I104">
        <v>30</v>
      </c>
      <c r="J104">
        <v>10</v>
      </c>
      <c r="M104" t="e">
        <f>CK25</f>
        <v>#VALUE!</v>
      </c>
    </row>
    <row r="105" spans="8:13" x14ac:dyDescent="0.25">
      <c r="H105" t="s">
        <v>27</v>
      </c>
      <c r="I105">
        <v>10</v>
      </c>
      <c r="J105">
        <v>50</v>
      </c>
      <c r="M105" t="e">
        <f>CL25</f>
        <v>#VALUE!</v>
      </c>
    </row>
    <row r="106" spans="8:13" x14ac:dyDescent="0.25">
      <c r="H106" t="s">
        <v>28</v>
      </c>
      <c r="I106">
        <v>10</v>
      </c>
      <c r="J106">
        <v>30</v>
      </c>
      <c r="M106" t="e">
        <f>CM25</f>
        <v>#VALUE!</v>
      </c>
    </row>
    <row r="107" spans="8:13" x14ac:dyDescent="0.25">
      <c r="H107" t="s">
        <v>29</v>
      </c>
      <c r="I107">
        <v>10</v>
      </c>
      <c r="J107">
        <v>10</v>
      </c>
      <c r="M107" t="e">
        <f>CN25</f>
        <v>#VALUE!</v>
      </c>
    </row>
    <row r="108" spans="8:13" x14ac:dyDescent="0.25">
      <c r="H108" t="s">
        <v>13</v>
      </c>
      <c r="I108">
        <v>80</v>
      </c>
      <c r="J108">
        <v>50</v>
      </c>
      <c r="M108" t="e">
        <f>CQ25</f>
        <v>#VALUE!</v>
      </c>
    </row>
    <row r="109" spans="8:13" x14ac:dyDescent="0.25">
      <c r="H109" t="s">
        <v>16</v>
      </c>
      <c r="I109">
        <v>80</v>
      </c>
      <c r="J109">
        <v>30</v>
      </c>
      <c r="M109" t="e">
        <f>CR25</f>
        <v>#VALUE!</v>
      </c>
    </row>
    <row r="110" spans="8:13" x14ac:dyDescent="0.25">
      <c r="H110" t="s">
        <v>17</v>
      </c>
      <c r="I110">
        <v>80</v>
      </c>
      <c r="J110">
        <v>10</v>
      </c>
      <c r="M110" t="e">
        <f>CS25</f>
        <v>#VALUE!</v>
      </c>
    </row>
    <row r="111" spans="8:13" x14ac:dyDescent="0.25">
      <c r="H111" t="s">
        <v>18</v>
      </c>
      <c r="I111">
        <v>70</v>
      </c>
      <c r="J111">
        <v>50</v>
      </c>
      <c r="M111" t="e">
        <f>CT25</f>
        <v>#VALUE!</v>
      </c>
    </row>
    <row r="112" spans="8:13" x14ac:dyDescent="0.25">
      <c r="H112" t="s">
        <v>19</v>
      </c>
      <c r="I112">
        <v>70</v>
      </c>
      <c r="J112">
        <v>30</v>
      </c>
      <c r="M112" t="e">
        <f>CU25</f>
        <v>#VALUE!</v>
      </c>
    </row>
    <row r="113" spans="8:23" x14ac:dyDescent="0.25">
      <c r="H113" t="s">
        <v>20</v>
      </c>
      <c r="I113">
        <v>70</v>
      </c>
      <c r="J113">
        <v>10</v>
      </c>
      <c r="M113" t="e">
        <f>CV25</f>
        <v>#VALUE!</v>
      </c>
    </row>
    <row r="114" spans="8:23" x14ac:dyDescent="0.25">
      <c r="H114" t="s">
        <v>21</v>
      </c>
      <c r="I114">
        <v>50</v>
      </c>
      <c r="J114">
        <v>50</v>
      </c>
      <c r="M114" t="e">
        <f>CW25</f>
        <v>#VALUE!</v>
      </c>
    </row>
    <row r="115" spans="8:23" x14ac:dyDescent="0.25">
      <c r="H115" t="s">
        <v>22</v>
      </c>
      <c r="I115">
        <v>50</v>
      </c>
      <c r="J115">
        <v>30</v>
      </c>
      <c r="M115" t="e">
        <f>CX25</f>
        <v>#VALUE!</v>
      </c>
    </row>
    <row r="116" spans="8:23" x14ac:dyDescent="0.25">
      <c r="H116" t="s">
        <v>23</v>
      </c>
      <c r="I116">
        <v>50</v>
      </c>
      <c r="J116">
        <v>10</v>
      </c>
      <c r="M116" t="e">
        <f>CY25</f>
        <v>#VALUE!</v>
      </c>
    </row>
    <row r="117" spans="8:23" x14ac:dyDescent="0.25">
      <c r="H117" t="s">
        <v>24</v>
      </c>
      <c r="I117">
        <v>30</v>
      </c>
      <c r="J117">
        <v>50</v>
      </c>
      <c r="M117" t="e">
        <f>CZ25</f>
        <v>#VALUE!</v>
      </c>
    </row>
    <row r="118" spans="8:23" x14ac:dyDescent="0.25">
      <c r="H118" t="s">
        <v>26</v>
      </c>
      <c r="I118">
        <v>30</v>
      </c>
      <c r="J118">
        <v>30</v>
      </c>
      <c r="M118" t="e">
        <f>DA25</f>
        <v>#VALUE!</v>
      </c>
    </row>
    <row r="119" spans="8:23" x14ac:dyDescent="0.25">
      <c r="H119" t="s">
        <v>25</v>
      </c>
      <c r="I119">
        <v>30</v>
      </c>
      <c r="J119">
        <v>10</v>
      </c>
      <c r="M119" t="e">
        <f>DB25</f>
        <v>#VALUE!</v>
      </c>
    </row>
    <row r="120" spans="8:23" x14ac:dyDescent="0.25">
      <c r="H120" t="s">
        <v>27</v>
      </c>
      <c r="I120">
        <v>10</v>
      </c>
      <c r="J120">
        <v>50</v>
      </c>
      <c r="M120" t="e">
        <f>DC25</f>
        <v>#VALUE!</v>
      </c>
    </row>
    <row r="121" spans="8:23" x14ac:dyDescent="0.25">
      <c r="H121" t="s">
        <v>28</v>
      </c>
      <c r="I121">
        <v>10</v>
      </c>
      <c r="J121">
        <v>30</v>
      </c>
      <c r="M121" t="e">
        <f>DD25</f>
        <v>#VALUE!</v>
      </c>
    </row>
    <row r="122" spans="8:23" x14ac:dyDescent="0.25">
      <c r="H122" t="s">
        <v>29</v>
      </c>
      <c r="I122">
        <v>10</v>
      </c>
      <c r="J122">
        <v>10</v>
      </c>
      <c r="M122" t="e">
        <f>DE25</f>
        <v>#VALUE!</v>
      </c>
    </row>
    <row r="125" spans="8:23" x14ac:dyDescent="0.25">
      <c r="I125" t="s">
        <v>107</v>
      </c>
      <c r="J125" t="s">
        <v>30</v>
      </c>
      <c r="K125" t="s">
        <v>31</v>
      </c>
      <c r="N125" t="s">
        <v>11</v>
      </c>
      <c r="O125" t="s">
        <v>12</v>
      </c>
      <c r="P125" t="s">
        <v>15</v>
      </c>
      <c r="R125" t="s">
        <v>143</v>
      </c>
      <c r="S125" t="s">
        <v>724</v>
      </c>
      <c r="T125" t="s">
        <v>135</v>
      </c>
      <c r="U125" t="s">
        <v>136</v>
      </c>
      <c r="W125" t="s">
        <v>138</v>
      </c>
    </row>
    <row r="126" spans="8:23" x14ac:dyDescent="0.25">
      <c r="I126" t="s">
        <v>32</v>
      </c>
      <c r="J126" s="5">
        <v>8805</v>
      </c>
      <c r="K126" s="5">
        <v>67</v>
      </c>
      <c r="N126">
        <v>80</v>
      </c>
      <c r="O126">
        <v>50</v>
      </c>
      <c r="P126">
        <v>20</v>
      </c>
      <c r="R126">
        <v>4</v>
      </c>
      <c r="S126" t="s">
        <v>116</v>
      </c>
      <c r="T126">
        <v>1.3</v>
      </c>
      <c r="U126">
        <v>1.28</v>
      </c>
      <c r="W126">
        <v>0</v>
      </c>
    </row>
    <row r="127" spans="8:23" x14ac:dyDescent="0.25">
      <c r="I127" t="s">
        <v>33</v>
      </c>
      <c r="J127" s="5">
        <v>11553</v>
      </c>
      <c r="K127" s="5">
        <v>85</v>
      </c>
      <c r="N127">
        <v>70</v>
      </c>
      <c r="O127">
        <v>30</v>
      </c>
      <c r="R127">
        <v>4</v>
      </c>
      <c r="S127" t="s">
        <v>115</v>
      </c>
      <c r="T127" s="11">
        <v>1.24</v>
      </c>
      <c r="U127">
        <v>1.28</v>
      </c>
      <c r="W127">
        <v>90</v>
      </c>
    </row>
    <row r="128" spans="8:23" x14ac:dyDescent="0.25">
      <c r="I128" t="s">
        <v>34</v>
      </c>
      <c r="J128" s="5">
        <v>13766</v>
      </c>
      <c r="K128" s="5">
        <v>100</v>
      </c>
      <c r="N128">
        <v>50</v>
      </c>
      <c r="O128">
        <v>10</v>
      </c>
      <c r="R128">
        <v>2</v>
      </c>
      <c r="S128" t="s">
        <v>116</v>
      </c>
      <c r="T128">
        <v>1.32</v>
      </c>
      <c r="U128">
        <v>1.28</v>
      </c>
    </row>
    <row r="129" spans="9:21" x14ac:dyDescent="0.25">
      <c r="I129" t="s">
        <v>35</v>
      </c>
      <c r="J129" s="5">
        <v>16938</v>
      </c>
      <c r="K129" s="5">
        <v>119</v>
      </c>
      <c r="N129">
        <v>30</v>
      </c>
      <c r="R129">
        <v>2</v>
      </c>
      <c r="S129" t="s">
        <v>115</v>
      </c>
      <c r="T129">
        <v>1.24</v>
      </c>
      <c r="U129">
        <v>1.1399999999999999</v>
      </c>
    </row>
    <row r="130" spans="9:21" x14ac:dyDescent="0.25">
      <c r="I130" t="s">
        <v>36</v>
      </c>
      <c r="J130" s="5">
        <v>12018</v>
      </c>
      <c r="K130" s="5">
        <v>84</v>
      </c>
      <c r="N130">
        <v>10</v>
      </c>
    </row>
    <row r="131" spans="9:21" x14ac:dyDescent="0.25">
      <c r="I131" t="s">
        <v>37</v>
      </c>
      <c r="J131" s="5">
        <v>13905</v>
      </c>
      <c r="K131" s="5">
        <v>100</v>
      </c>
    </row>
    <row r="132" spans="9:21" x14ac:dyDescent="0.25">
      <c r="I132" t="s">
        <v>38</v>
      </c>
      <c r="J132" s="5">
        <v>15913</v>
      </c>
      <c r="K132" s="5">
        <v>118</v>
      </c>
    </row>
    <row r="133" spans="9:21" x14ac:dyDescent="0.25">
      <c r="I133" t="s">
        <v>39</v>
      </c>
      <c r="J133" s="5">
        <v>19697</v>
      </c>
      <c r="K133" s="5">
        <v>140</v>
      </c>
    </row>
    <row r="134" spans="9:21" x14ac:dyDescent="0.25">
      <c r="I134" t="s">
        <v>40</v>
      </c>
      <c r="J134" s="5">
        <v>23543</v>
      </c>
      <c r="K134" s="5">
        <v>174</v>
      </c>
    </row>
    <row r="135" spans="9:21" x14ac:dyDescent="0.25">
      <c r="I135" t="s">
        <v>41</v>
      </c>
      <c r="J135" s="5">
        <v>28006</v>
      </c>
      <c r="K135" s="5">
        <v>190</v>
      </c>
    </row>
    <row r="136" spans="9:21" x14ac:dyDescent="0.25">
      <c r="I136" t="s">
        <v>42</v>
      </c>
      <c r="J136" s="5">
        <v>34578</v>
      </c>
      <c r="K136" s="5">
        <v>250</v>
      </c>
    </row>
    <row r="137" spans="9:21" x14ac:dyDescent="0.25">
      <c r="I137" t="s">
        <v>43</v>
      </c>
      <c r="J137" s="5">
        <v>39262</v>
      </c>
      <c r="K137" s="5">
        <v>285</v>
      </c>
    </row>
    <row r="138" spans="9:21" x14ac:dyDescent="0.25">
      <c r="I138" t="s">
        <v>44</v>
      </c>
      <c r="J138" s="5">
        <v>9041</v>
      </c>
      <c r="K138" s="5">
        <v>72</v>
      </c>
    </row>
    <row r="139" spans="9:21" x14ac:dyDescent="0.25">
      <c r="I139" t="s">
        <v>45</v>
      </c>
      <c r="J139" s="5">
        <v>11422</v>
      </c>
      <c r="K139" s="5">
        <v>87</v>
      </c>
    </row>
    <row r="140" spans="9:21" x14ac:dyDescent="0.25">
      <c r="I140" t="s">
        <v>46</v>
      </c>
      <c r="J140" s="5">
        <v>13432</v>
      </c>
      <c r="K140" s="5">
        <v>104</v>
      </c>
    </row>
    <row r="141" spans="9:21" x14ac:dyDescent="0.25">
      <c r="I141" t="s">
        <v>47</v>
      </c>
      <c r="J141" s="5">
        <v>17053</v>
      </c>
      <c r="K141" s="5">
        <v>130</v>
      </c>
    </row>
    <row r="142" spans="9:21" x14ac:dyDescent="0.25">
      <c r="I142" t="s">
        <v>48</v>
      </c>
      <c r="J142" s="5">
        <v>11998</v>
      </c>
      <c r="K142" s="5">
        <v>86</v>
      </c>
    </row>
    <row r="143" spans="9:21" x14ac:dyDescent="0.25">
      <c r="I143" t="s">
        <v>49</v>
      </c>
      <c r="J143" s="5">
        <v>13982</v>
      </c>
      <c r="K143" s="5">
        <v>104</v>
      </c>
    </row>
    <row r="144" spans="9:21" x14ac:dyDescent="0.25">
      <c r="I144" t="s">
        <v>50</v>
      </c>
      <c r="J144" s="5">
        <v>17193</v>
      </c>
      <c r="K144" s="5">
        <v>136</v>
      </c>
    </row>
    <row r="145" spans="9:11" x14ac:dyDescent="0.25">
      <c r="I145" t="s">
        <v>51</v>
      </c>
      <c r="J145" s="5">
        <v>20866</v>
      </c>
      <c r="K145" s="5">
        <v>155</v>
      </c>
    </row>
    <row r="146" spans="9:11" x14ac:dyDescent="0.25">
      <c r="I146" t="s">
        <v>52</v>
      </c>
      <c r="J146" s="5">
        <v>22943</v>
      </c>
      <c r="K146" s="5">
        <v>174</v>
      </c>
    </row>
    <row r="147" spans="9:11" x14ac:dyDescent="0.25">
      <c r="I147" t="s">
        <v>53</v>
      </c>
      <c r="J147" s="5">
        <v>29029</v>
      </c>
      <c r="K147" s="5">
        <v>210</v>
      </c>
    </row>
    <row r="148" spans="9:11" x14ac:dyDescent="0.25">
      <c r="I148" t="s">
        <v>54</v>
      </c>
      <c r="J148" s="5">
        <v>35439</v>
      </c>
      <c r="K148" s="5">
        <v>270</v>
      </c>
    </row>
    <row r="149" spans="9:11" x14ac:dyDescent="0.25">
      <c r="I149" t="s">
        <v>55</v>
      </c>
      <c r="J149" s="5">
        <v>38970</v>
      </c>
      <c r="K149" s="5">
        <v>305</v>
      </c>
    </row>
    <row r="150" spans="9:11" x14ac:dyDescent="0.25">
      <c r="I150" t="s">
        <v>56</v>
      </c>
      <c r="J150" s="5">
        <v>48676</v>
      </c>
      <c r="K150" s="5">
        <v>374</v>
      </c>
    </row>
    <row r="151" spans="9:11" x14ac:dyDescent="0.25">
      <c r="I151" t="s">
        <v>57</v>
      </c>
      <c r="J151" s="5">
        <v>9096</v>
      </c>
      <c r="K151" s="5">
        <v>67</v>
      </c>
    </row>
    <row r="152" spans="9:11" x14ac:dyDescent="0.25">
      <c r="I152" t="s">
        <v>58</v>
      </c>
      <c r="J152" s="5">
        <v>11934</v>
      </c>
      <c r="K152" s="5">
        <v>85</v>
      </c>
    </row>
    <row r="153" spans="9:11" x14ac:dyDescent="0.25">
      <c r="I153" t="s">
        <v>59</v>
      </c>
      <c r="J153" s="5">
        <v>14221</v>
      </c>
      <c r="K153" s="5">
        <v>100</v>
      </c>
    </row>
    <row r="154" spans="9:11" x14ac:dyDescent="0.25">
      <c r="I154" t="s">
        <v>60</v>
      </c>
      <c r="J154" s="5">
        <v>17498</v>
      </c>
      <c r="K154" s="5">
        <v>119</v>
      </c>
    </row>
    <row r="155" spans="9:11" x14ac:dyDescent="0.25">
      <c r="I155" t="s">
        <v>61</v>
      </c>
      <c r="J155" s="5">
        <v>12416</v>
      </c>
      <c r="K155" s="5">
        <v>84</v>
      </c>
    </row>
    <row r="156" spans="9:11" x14ac:dyDescent="0.25">
      <c r="I156" t="s">
        <v>62</v>
      </c>
      <c r="J156" s="5">
        <v>14365</v>
      </c>
      <c r="K156" s="5">
        <v>100</v>
      </c>
    </row>
    <row r="157" spans="9:11" x14ac:dyDescent="0.25">
      <c r="I157" t="s">
        <v>63</v>
      </c>
      <c r="J157" s="5">
        <v>16439</v>
      </c>
      <c r="K157" s="5">
        <v>118</v>
      </c>
    </row>
    <row r="158" spans="9:11" x14ac:dyDescent="0.25">
      <c r="I158" t="s">
        <v>64</v>
      </c>
      <c r="J158" s="5">
        <v>20349</v>
      </c>
      <c r="K158" s="5">
        <v>140</v>
      </c>
    </row>
    <row r="159" spans="9:11" x14ac:dyDescent="0.25">
      <c r="I159" t="s">
        <v>65</v>
      </c>
      <c r="J159" s="5">
        <v>24322</v>
      </c>
      <c r="K159" s="5">
        <v>174</v>
      </c>
    </row>
    <row r="160" spans="9:11" x14ac:dyDescent="0.25">
      <c r="I160" t="s">
        <v>66</v>
      </c>
      <c r="J160" s="5">
        <v>28932</v>
      </c>
      <c r="K160" s="5">
        <v>190</v>
      </c>
    </row>
    <row r="161" spans="9:11" x14ac:dyDescent="0.25">
      <c r="I161" t="s">
        <v>67</v>
      </c>
      <c r="J161" s="5">
        <v>35721</v>
      </c>
      <c r="K161" s="5">
        <v>250</v>
      </c>
    </row>
    <row r="162" spans="9:11" x14ac:dyDescent="0.25">
      <c r="I162" t="s">
        <v>68</v>
      </c>
      <c r="J162" s="5">
        <v>40560</v>
      </c>
      <c r="K162" s="5">
        <v>285</v>
      </c>
    </row>
    <row r="163" spans="9:11" x14ac:dyDescent="0.25">
      <c r="I163" t="s">
        <v>69</v>
      </c>
      <c r="J163" s="5">
        <v>9340</v>
      </c>
      <c r="K163" s="5">
        <v>72</v>
      </c>
    </row>
    <row r="164" spans="9:11" x14ac:dyDescent="0.25">
      <c r="I164" t="s">
        <v>70</v>
      </c>
      <c r="J164" s="5">
        <v>11799</v>
      </c>
      <c r="K164" s="5">
        <v>87</v>
      </c>
    </row>
    <row r="165" spans="9:11" x14ac:dyDescent="0.25">
      <c r="I165" t="s">
        <v>71</v>
      </c>
      <c r="J165" s="5">
        <v>13876</v>
      </c>
      <c r="K165" s="5">
        <v>104</v>
      </c>
    </row>
    <row r="166" spans="9:11" x14ac:dyDescent="0.25">
      <c r="I166" t="s">
        <v>72</v>
      </c>
      <c r="J166" s="5">
        <v>17616</v>
      </c>
      <c r="K166" s="5">
        <v>130</v>
      </c>
    </row>
    <row r="167" spans="9:11" x14ac:dyDescent="0.25">
      <c r="I167" t="s">
        <v>73</v>
      </c>
      <c r="J167" s="5">
        <v>12394</v>
      </c>
      <c r="K167" s="5">
        <v>86</v>
      </c>
    </row>
    <row r="168" spans="9:11" x14ac:dyDescent="0.25">
      <c r="I168" t="s">
        <v>74</v>
      </c>
      <c r="J168" s="5">
        <v>14444</v>
      </c>
      <c r="K168" s="5">
        <v>104</v>
      </c>
    </row>
    <row r="169" spans="9:11" x14ac:dyDescent="0.25">
      <c r="I169" t="s">
        <v>75</v>
      </c>
      <c r="J169" s="5">
        <v>17761</v>
      </c>
      <c r="K169" s="5">
        <v>136</v>
      </c>
    </row>
    <row r="170" spans="9:11" x14ac:dyDescent="0.25">
      <c r="I170" t="s">
        <v>76</v>
      </c>
      <c r="J170" s="5">
        <v>21556</v>
      </c>
      <c r="K170" s="5">
        <v>155</v>
      </c>
    </row>
    <row r="171" spans="9:11" x14ac:dyDescent="0.25">
      <c r="I171" t="s">
        <v>77</v>
      </c>
      <c r="J171" s="5">
        <v>23701</v>
      </c>
      <c r="K171" s="5">
        <v>174</v>
      </c>
    </row>
    <row r="172" spans="9:11" x14ac:dyDescent="0.25">
      <c r="I172" t="s">
        <v>78</v>
      </c>
      <c r="J172" s="5">
        <v>29988</v>
      </c>
      <c r="K172" s="5">
        <v>210</v>
      </c>
    </row>
    <row r="173" spans="9:11" x14ac:dyDescent="0.25">
      <c r="I173" t="s">
        <v>79</v>
      </c>
      <c r="J173" s="5">
        <v>36611</v>
      </c>
      <c r="K173" s="5">
        <v>270</v>
      </c>
    </row>
    <row r="174" spans="9:11" x14ac:dyDescent="0.25">
      <c r="I174" t="s">
        <v>80</v>
      </c>
      <c r="J174" s="5">
        <v>40258</v>
      </c>
      <c r="K174" s="5">
        <v>305</v>
      </c>
    </row>
    <row r="175" spans="9:11" x14ac:dyDescent="0.25">
      <c r="I175" t="s">
        <v>81</v>
      </c>
      <c r="J175" s="5">
        <v>50285</v>
      </c>
      <c r="K175" s="5">
        <v>374</v>
      </c>
    </row>
    <row r="176" spans="9:11" x14ac:dyDescent="0.25">
      <c r="I176" t="s">
        <v>82</v>
      </c>
      <c r="J176" s="5">
        <v>9369</v>
      </c>
      <c r="K176" s="5">
        <v>67</v>
      </c>
    </row>
    <row r="177" spans="9:11" x14ac:dyDescent="0.25">
      <c r="I177" t="s">
        <v>83</v>
      </c>
      <c r="J177" s="5">
        <v>12292</v>
      </c>
      <c r="K177" s="5">
        <v>85</v>
      </c>
    </row>
    <row r="178" spans="9:11" x14ac:dyDescent="0.25">
      <c r="I178" t="s">
        <v>84</v>
      </c>
      <c r="J178" s="5">
        <v>14648</v>
      </c>
      <c r="K178" s="5">
        <v>100</v>
      </c>
    </row>
    <row r="179" spans="9:11" x14ac:dyDescent="0.25">
      <c r="I179" t="s">
        <v>85</v>
      </c>
      <c r="J179" s="5">
        <v>18023</v>
      </c>
      <c r="K179" s="5">
        <v>119</v>
      </c>
    </row>
    <row r="180" spans="9:11" x14ac:dyDescent="0.25">
      <c r="I180" t="s">
        <v>86</v>
      </c>
      <c r="J180" s="5">
        <v>12788</v>
      </c>
      <c r="K180" s="5">
        <v>84</v>
      </c>
    </row>
    <row r="181" spans="9:11" x14ac:dyDescent="0.25">
      <c r="I181" t="s">
        <v>87</v>
      </c>
      <c r="J181" s="5">
        <v>14796</v>
      </c>
      <c r="K181" s="5">
        <v>100</v>
      </c>
    </row>
    <row r="182" spans="9:11" x14ac:dyDescent="0.25">
      <c r="I182" t="s">
        <v>88</v>
      </c>
      <c r="J182" s="5">
        <v>16932</v>
      </c>
      <c r="K182" s="5">
        <v>118</v>
      </c>
    </row>
    <row r="183" spans="9:11" x14ac:dyDescent="0.25">
      <c r="I183" t="s">
        <v>89</v>
      </c>
      <c r="J183" s="5">
        <v>20959</v>
      </c>
      <c r="K183" s="5">
        <v>140</v>
      </c>
    </row>
    <row r="184" spans="9:11" x14ac:dyDescent="0.25">
      <c r="I184" t="s">
        <v>90</v>
      </c>
      <c r="J184" s="5">
        <v>25051</v>
      </c>
      <c r="K184" s="5">
        <v>174</v>
      </c>
    </row>
    <row r="185" spans="9:11" x14ac:dyDescent="0.25">
      <c r="I185" t="s">
        <v>91</v>
      </c>
      <c r="J185" s="5">
        <v>29800</v>
      </c>
      <c r="K185" s="5">
        <v>190</v>
      </c>
    </row>
    <row r="186" spans="9:11" x14ac:dyDescent="0.25">
      <c r="I186" t="s">
        <v>92</v>
      </c>
      <c r="J186" s="5">
        <v>36792</v>
      </c>
      <c r="K186" s="5">
        <v>250</v>
      </c>
    </row>
    <row r="187" spans="9:11" x14ac:dyDescent="0.25">
      <c r="I187" t="s">
        <v>93</v>
      </c>
      <c r="J187" s="5">
        <v>41777</v>
      </c>
      <c r="K187" s="5">
        <v>285</v>
      </c>
    </row>
    <row r="188" spans="9:11" x14ac:dyDescent="0.25">
      <c r="I188" t="s">
        <v>94</v>
      </c>
      <c r="J188" s="5">
        <v>9620</v>
      </c>
      <c r="K188" s="5">
        <v>72</v>
      </c>
    </row>
    <row r="189" spans="9:11" x14ac:dyDescent="0.25">
      <c r="I189" t="s">
        <v>95</v>
      </c>
      <c r="J189" s="5">
        <v>12153</v>
      </c>
      <c r="K189" s="5">
        <v>87</v>
      </c>
    </row>
    <row r="190" spans="9:11" x14ac:dyDescent="0.25">
      <c r="I190" t="s">
        <v>96</v>
      </c>
      <c r="J190" s="5">
        <v>14292</v>
      </c>
      <c r="K190" s="5">
        <v>104</v>
      </c>
    </row>
    <row r="191" spans="9:11" x14ac:dyDescent="0.25">
      <c r="I191" t="s">
        <v>97</v>
      </c>
      <c r="J191" s="5">
        <v>18145</v>
      </c>
      <c r="K191" s="5">
        <v>130</v>
      </c>
    </row>
    <row r="192" spans="9:11" x14ac:dyDescent="0.25">
      <c r="I192" t="s">
        <v>98</v>
      </c>
      <c r="J192" s="5">
        <v>12766</v>
      </c>
      <c r="K192" s="5">
        <v>86</v>
      </c>
    </row>
    <row r="193" spans="9:11" x14ac:dyDescent="0.25">
      <c r="I193" t="s">
        <v>99</v>
      </c>
      <c r="J193" s="5">
        <v>14877</v>
      </c>
      <c r="K193" s="5">
        <v>104</v>
      </c>
    </row>
    <row r="194" spans="9:11" x14ac:dyDescent="0.25">
      <c r="I194" t="s">
        <v>100</v>
      </c>
      <c r="J194" s="5">
        <v>18294</v>
      </c>
      <c r="K194" s="5">
        <v>136</v>
      </c>
    </row>
    <row r="195" spans="9:11" x14ac:dyDescent="0.25">
      <c r="I195" t="s">
        <v>101</v>
      </c>
      <c r="J195" s="5">
        <v>22203</v>
      </c>
      <c r="K195" s="5">
        <v>155</v>
      </c>
    </row>
    <row r="196" spans="9:11" x14ac:dyDescent="0.25">
      <c r="I196" t="s">
        <v>102</v>
      </c>
      <c r="J196" s="5">
        <v>24412</v>
      </c>
      <c r="K196" s="5">
        <v>174</v>
      </c>
    </row>
    <row r="197" spans="9:11" x14ac:dyDescent="0.25">
      <c r="I197" t="s">
        <v>103</v>
      </c>
      <c r="J197" s="5">
        <v>30888</v>
      </c>
      <c r="K197" s="5">
        <v>210</v>
      </c>
    </row>
    <row r="198" spans="9:11" x14ac:dyDescent="0.25">
      <c r="I198" t="s">
        <v>104</v>
      </c>
      <c r="J198" s="5">
        <v>37709</v>
      </c>
      <c r="K198" s="5">
        <v>270</v>
      </c>
    </row>
    <row r="199" spans="9:11" x14ac:dyDescent="0.25">
      <c r="I199" t="s">
        <v>105</v>
      </c>
      <c r="J199" s="5">
        <v>41466</v>
      </c>
      <c r="K199" s="5">
        <v>305</v>
      </c>
    </row>
    <row r="200" spans="9:11" x14ac:dyDescent="0.25">
      <c r="I200" t="s">
        <v>106</v>
      </c>
      <c r="J200" s="5">
        <v>51794</v>
      </c>
      <c r="K200" s="5">
        <v>374</v>
      </c>
    </row>
    <row r="201" spans="9:11" x14ac:dyDescent="0.25">
      <c r="I201" s="16" t="s">
        <v>223</v>
      </c>
      <c r="J201" s="19">
        <f>J126*0.93</f>
        <v>8188.6500000000005</v>
      </c>
      <c r="K201" s="19">
        <v>67</v>
      </c>
    </row>
    <row r="202" spans="9:11" x14ac:dyDescent="0.25">
      <c r="I202" s="16" t="s">
        <v>224</v>
      </c>
      <c r="J202" s="19">
        <f t="shared" ref="J202:J265" si="12">J127*0.93</f>
        <v>10744.29</v>
      </c>
      <c r="K202" s="19">
        <v>85</v>
      </c>
    </row>
    <row r="203" spans="9:11" x14ac:dyDescent="0.25">
      <c r="I203" s="16" t="s">
        <v>225</v>
      </c>
      <c r="J203" s="19">
        <f t="shared" si="12"/>
        <v>12802.380000000001</v>
      </c>
      <c r="K203" s="19">
        <v>100</v>
      </c>
    </row>
    <row r="204" spans="9:11" x14ac:dyDescent="0.25">
      <c r="I204" s="16" t="s">
        <v>226</v>
      </c>
      <c r="J204" s="19">
        <f t="shared" si="12"/>
        <v>15752.34</v>
      </c>
      <c r="K204" s="19">
        <v>119</v>
      </c>
    </row>
    <row r="205" spans="9:11" x14ac:dyDescent="0.25">
      <c r="I205" s="16" t="s">
        <v>227</v>
      </c>
      <c r="J205" s="19">
        <f t="shared" si="12"/>
        <v>11176.74</v>
      </c>
      <c r="K205" s="19">
        <v>84</v>
      </c>
    </row>
    <row r="206" spans="9:11" x14ac:dyDescent="0.25">
      <c r="I206" s="16" t="s">
        <v>228</v>
      </c>
      <c r="J206" s="19">
        <f t="shared" si="12"/>
        <v>12931.650000000001</v>
      </c>
      <c r="K206" s="19">
        <v>100</v>
      </c>
    </row>
    <row r="207" spans="9:11" x14ac:dyDescent="0.25">
      <c r="I207" s="16" t="s">
        <v>229</v>
      </c>
      <c r="J207" s="19">
        <f t="shared" si="12"/>
        <v>14799.09</v>
      </c>
      <c r="K207" s="19">
        <v>118</v>
      </c>
    </row>
    <row r="208" spans="9:11" x14ac:dyDescent="0.25">
      <c r="I208" s="16" t="s">
        <v>230</v>
      </c>
      <c r="J208" s="19">
        <f t="shared" si="12"/>
        <v>18318.210000000003</v>
      </c>
      <c r="K208" s="19">
        <v>140</v>
      </c>
    </row>
    <row r="209" spans="9:11" x14ac:dyDescent="0.25">
      <c r="I209" s="16" t="s">
        <v>231</v>
      </c>
      <c r="J209" s="19">
        <f t="shared" si="12"/>
        <v>21894.99</v>
      </c>
      <c r="K209" s="19">
        <v>174</v>
      </c>
    </row>
    <row r="210" spans="9:11" x14ac:dyDescent="0.25">
      <c r="I210" s="16" t="s">
        <v>232</v>
      </c>
      <c r="J210" s="19">
        <f t="shared" si="12"/>
        <v>26045.58</v>
      </c>
      <c r="K210" s="19">
        <v>190</v>
      </c>
    </row>
    <row r="211" spans="9:11" x14ac:dyDescent="0.25">
      <c r="I211" s="16" t="s">
        <v>233</v>
      </c>
      <c r="J211" s="19">
        <f t="shared" si="12"/>
        <v>32157.54</v>
      </c>
      <c r="K211" s="19">
        <v>250</v>
      </c>
    </row>
    <row r="212" spans="9:11" x14ac:dyDescent="0.25">
      <c r="I212" s="16" t="s">
        <v>234</v>
      </c>
      <c r="J212" s="19">
        <f t="shared" si="12"/>
        <v>36513.660000000003</v>
      </c>
      <c r="K212" s="19">
        <v>285</v>
      </c>
    </row>
    <row r="213" spans="9:11" x14ac:dyDescent="0.25">
      <c r="I213" s="16" t="s">
        <v>235</v>
      </c>
      <c r="J213" s="19">
        <f t="shared" si="12"/>
        <v>8408.130000000001</v>
      </c>
      <c r="K213" s="19">
        <v>72</v>
      </c>
    </row>
    <row r="214" spans="9:11" x14ac:dyDescent="0.25">
      <c r="I214" s="16" t="s">
        <v>236</v>
      </c>
      <c r="J214" s="19">
        <f t="shared" si="12"/>
        <v>10622.460000000001</v>
      </c>
      <c r="K214" s="19">
        <v>87</v>
      </c>
    </row>
    <row r="215" spans="9:11" x14ac:dyDescent="0.25">
      <c r="I215" s="16" t="s">
        <v>237</v>
      </c>
      <c r="J215" s="19">
        <f t="shared" si="12"/>
        <v>12491.76</v>
      </c>
      <c r="K215" s="19">
        <v>104</v>
      </c>
    </row>
    <row r="216" spans="9:11" x14ac:dyDescent="0.25">
      <c r="I216" s="16" t="s">
        <v>238</v>
      </c>
      <c r="J216" s="19">
        <f t="shared" si="12"/>
        <v>15859.29</v>
      </c>
      <c r="K216" s="19">
        <v>130</v>
      </c>
    </row>
    <row r="217" spans="9:11" x14ac:dyDescent="0.25">
      <c r="I217" s="16" t="s">
        <v>239</v>
      </c>
      <c r="J217" s="19">
        <f t="shared" si="12"/>
        <v>11158.140000000001</v>
      </c>
      <c r="K217" s="19">
        <v>86</v>
      </c>
    </row>
    <row r="218" spans="9:11" x14ac:dyDescent="0.25">
      <c r="I218" s="16" t="s">
        <v>240</v>
      </c>
      <c r="J218" s="19">
        <f t="shared" si="12"/>
        <v>13003.26</v>
      </c>
      <c r="K218" s="19">
        <v>104</v>
      </c>
    </row>
    <row r="219" spans="9:11" x14ac:dyDescent="0.25">
      <c r="I219" s="16" t="s">
        <v>241</v>
      </c>
      <c r="J219" s="19">
        <f t="shared" si="12"/>
        <v>15989.490000000002</v>
      </c>
      <c r="K219" s="19">
        <v>136</v>
      </c>
    </row>
    <row r="220" spans="9:11" x14ac:dyDescent="0.25">
      <c r="I220" s="16" t="s">
        <v>242</v>
      </c>
      <c r="J220" s="19">
        <f t="shared" si="12"/>
        <v>19405.38</v>
      </c>
      <c r="K220" s="19">
        <v>155</v>
      </c>
    </row>
    <row r="221" spans="9:11" x14ac:dyDescent="0.25">
      <c r="I221" s="16" t="s">
        <v>243</v>
      </c>
      <c r="J221" s="19">
        <f t="shared" si="12"/>
        <v>21336.99</v>
      </c>
      <c r="K221" s="19">
        <v>174</v>
      </c>
    </row>
    <row r="222" spans="9:11" x14ac:dyDescent="0.25">
      <c r="I222" s="16" t="s">
        <v>244</v>
      </c>
      <c r="J222" s="19">
        <f t="shared" si="12"/>
        <v>26996.97</v>
      </c>
      <c r="K222" s="19">
        <v>210</v>
      </c>
    </row>
    <row r="223" spans="9:11" x14ac:dyDescent="0.25">
      <c r="I223" s="16" t="s">
        <v>245</v>
      </c>
      <c r="J223" s="19">
        <f t="shared" si="12"/>
        <v>32958.270000000004</v>
      </c>
      <c r="K223" s="19">
        <v>270</v>
      </c>
    </row>
    <row r="224" spans="9:11" x14ac:dyDescent="0.25">
      <c r="I224" s="16" t="s">
        <v>246</v>
      </c>
      <c r="J224" s="19">
        <f t="shared" si="12"/>
        <v>36242.1</v>
      </c>
      <c r="K224" s="19">
        <v>305</v>
      </c>
    </row>
    <row r="225" spans="9:11" x14ac:dyDescent="0.25">
      <c r="I225" s="16" t="s">
        <v>247</v>
      </c>
      <c r="J225" s="19">
        <f t="shared" si="12"/>
        <v>45268.68</v>
      </c>
      <c r="K225" s="19">
        <v>374</v>
      </c>
    </row>
    <row r="226" spans="9:11" x14ac:dyDescent="0.25">
      <c r="I226" s="16" t="s">
        <v>248</v>
      </c>
      <c r="J226" s="19">
        <f t="shared" si="12"/>
        <v>8459.2800000000007</v>
      </c>
      <c r="K226" s="19">
        <v>67</v>
      </c>
    </row>
    <row r="227" spans="9:11" x14ac:dyDescent="0.25">
      <c r="I227" s="16" t="s">
        <v>249</v>
      </c>
      <c r="J227" s="19">
        <f t="shared" si="12"/>
        <v>11098.62</v>
      </c>
      <c r="K227" s="19">
        <v>85</v>
      </c>
    </row>
    <row r="228" spans="9:11" x14ac:dyDescent="0.25">
      <c r="I228" s="16" t="s">
        <v>250</v>
      </c>
      <c r="J228" s="19">
        <f t="shared" si="12"/>
        <v>13225.53</v>
      </c>
      <c r="K228" s="19">
        <v>100</v>
      </c>
    </row>
    <row r="229" spans="9:11" x14ac:dyDescent="0.25">
      <c r="I229" s="16" t="s">
        <v>251</v>
      </c>
      <c r="J229" s="19">
        <f t="shared" si="12"/>
        <v>16273.140000000001</v>
      </c>
      <c r="K229" s="19">
        <v>119</v>
      </c>
    </row>
    <row r="230" spans="9:11" x14ac:dyDescent="0.25">
      <c r="I230" s="16" t="s">
        <v>252</v>
      </c>
      <c r="J230" s="19">
        <f t="shared" si="12"/>
        <v>11546.880000000001</v>
      </c>
      <c r="K230" s="19">
        <v>84</v>
      </c>
    </row>
    <row r="231" spans="9:11" x14ac:dyDescent="0.25">
      <c r="I231" s="16" t="s">
        <v>253</v>
      </c>
      <c r="J231" s="19">
        <f t="shared" si="12"/>
        <v>13359.45</v>
      </c>
      <c r="K231" s="19">
        <v>100</v>
      </c>
    </row>
    <row r="232" spans="9:11" x14ac:dyDescent="0.25">
      <c r="I232" s="16" t="s">
        <v>254</v>
      </c>
      <c r="J232" s="19">
        <f t="shared" si="12"/>
        <v>15288.27</v>
      </c>
      <c r="K232" s="19">
        <v>118</v>
      </c>
    </row>
    <row r="233" spans="9:11" x14ac:dyDescent="0.25">
      <c r="I233" s="16" t="s">
        <v>255</v>
      </c>
      <c r="J233" s="19">
        <f t="shared" si="12"/>
        <v>18924.57</v>
      </c>
      <c r="K233" s="19">
        <v>140</v>
      </c>
    </row>
    <row r="234" spans="9:11" x14ac:dyDescent="0.25">
      <c r="I234" s="16" t="s">
        <v>256</v>
      </c>
      <c r="J234" s="19">
        <f t="shared" si="12"/>
        <v>22619.460000000003</v>
      </c>
      <c r="K234" s="19">
        <v>174</v>
      </c>
    </row>
    <row r="235" spans="9:11" x14ac:dyDescent="0.25">
      <c r="I235" s="16" t="s">
        <v>257</v>
      </c>
      <c r="J235" s="19">
        <f t="shared" si="12"/>
        <v>26906.760000000002</v>
      </c>
      <c r="K235" s="19">
        <v>190</v>
      </c>
    </row>
    <row r="236" spans="9:11" x14ac:dyDescent="0.25">
      <c r="I236" s="16" t="s">
        <v>258</v>
      </c>
      <c r="J236" s="19">
        <f t="shared" si="12"/>
        <v>33220.53</v>
      </c>
      <c r="K236" s="19">
        <v>250</v>
      </c>
    </row>
    <row r="237" spans="9:11" x14ac:dyDescent="0.25">
      <c r="I237" s="16" t="s">
        <v>259</v>
      </c>
      <c r="J237" s="19">
        <f t="shared" si="12"/>
        <v>37720.800000000003</v>
      </c>
      <c r="K237" s="19">
        <v>285</v>
      </c>
    </row>
    <row r="238" spans="9:11" x14ac:dyDescent="0.25">
      <c r="I238" s="16" t="s">
        <v>260</v>
      </c>
      <c r="J238" s="19">
        <f t="shared" si="12"/>
        <v>8686.2000000000007</v>
      </c>
      <c r="K238" s="19">
        <v>72</v>
      </c>
    </row>
    <row r="239" spans="9:11" x14ac:dyDescent="0.25">
      <c r="I239" s="16" t="s">
        <v>261</v>
      </c>
      <c r="J239" s="19">
        <f t="shared" si="12"/>
        <v>10973.07</v>
      </c>
      <c r="K239" s="19">
        <v>87</v>
      </c>
    </row>
    <row r="240" spans="9:11" x14ac:dyDescent="0.25">
      <c r="I240" s="16" t="s">
        <v>262</v>
      </c>
      <c r="J240" s="19">
        <f t="shared" si="12"/>
        <v>12904.68</v>
      </c>
      <c r="K240" s="19">
        <v>104</v>
      </c>
    </row>
    <row r="241" spans="9:11" x14ac:dyDescent="0.25">
      <c r="I241" s="16" t="s">
        <v>263</v>
      </c>
      <c r="J241" s="19">
        <f t="shared" si="12"/>
        <v>16382.880000000001</v>
      </c>
      <c r="K241" s="19">
        <v>130</v>
      </c>
    </row>
    <row r="242" spans="9:11" x14ac:dyDescent="0.25">
      <c r="I242" s="16" t="s">
        <v>264</v>
      </c>
      <c r="J242" s="19">
        <f t="shared" si="12"/>
        <v>11526.42</v>
      </c>
      <c r="K242" s="19">
        <v>86</v>
      </c>
    </row>
    <row r="243" spans="9:11" x14ac:dyDescent="0.25">
      <c r="I243" s="16" t="s">
        <v>265</v>
      </c>
      <c r="J243" s="19">
        <f t="shared" si="12"/>
        <v>13432.92</v>
      </c>
      <c r="K243" s="19">
        <v>104</v>
      </c>
    </row>
    <row r="244" spans="9:11" x14ac:dyDescent="0.25">
      <c r="I244" s="16" t="s">
        <v>266</v>
      </c>
      <c r="J244" s="19">
        <f t="shared" si="12"/>
        <v>16517.73</v>
      </c>
      <c r="K244" s="19">
        <v>136</v>
      </c>
    </row>
    <row r="245" spans="9:11" x14ac:dyDescent="0.25">
      <c r="I245" s="16" t="s">
        <v>267</v>
      </c>
      <c r="J245" s="19">
        <f t="shared" si="12"/>
        <v>20047.080000000002</v>
      </c>
      <c r="K245" s="19">
        <v>155</v>
      </c>
    </row>
    <row r="246" spans="9:11" x14ac:dyDescent="0.25">
      <c r="I246" s="16" t="s">
        <v>268</v>
      </c>
      <c r="J246" s="19">
        <f t="shared" si="12"/>
        <v>22041.93</v>
      </c>
      <c r="K246" s="19">
        <v>174</v>
      </c>
    </row>
    <row r="247" spans="9:11" x14ac:dyDescent="0.25">
      <c r="I247" s="16" t="s">
        <v>269</v>
      </c>
      <c r="J247" s="19">
        <f t="shared" si="12"/>
        <v>27888.84</v>
      </c>
      <c r="K247" s="19">
        <v>210</v>
      </c>
    </row>
    <row r="248" spans="9:11" x14ac:dyDescent="0.25">
      <c r="I248" s="16" t="s">
        <v>270</v>
      </c>
      <c r="J248" s="19">
        <f t="shared" si="12"/>
        <v>34048.230000000003</v>
      </c>
      <c r="K248" s="19">
        <v>270</v>
      </c>
    </row>
    <row r="249" spans="9:11" x14ac:dyDescent="0.25">
      <c r="I249" s="16" t="s">
        <v>271</v>
      </c>
      <c r="J249" s="19">
        <f t="shared" si="12"/>
        <v>37439.94</v>
      </c>
      <c r="K249" s="19">
        <v>305</v>
      </c>
    </row>
    <row r="250" spans="9:11" x14ac:dyDescent="0.25">
      <c r="I250" s="16" t="s">
        <v>272</v>
      </c>
      <c r="J250" s="19">
        <f t="shared" si="12"/>
        <v>46765.05</v>
      </c>
      <c r="K250" s="19">
        <v>374</v>
      </c>
    </row>
    <row r="251" spans="9:11" x14ac:dyDescent="0.25">
      <c r="I251" s="16" t="s">
        <v>273</v>
      </c>
      <c r="J251" s="19">
        <f t="shared" si="12"/>
        <v>8713.17</v>
      </c>
      <c r="K251" s="19">
        <v>67</v>
      </c>
    </row>
    <row r="252" spans="9:11" x14ac:dyDescent="0.25">
      <c r="I252" s="16" t="s">
        <v>274</v>
      </c>
      <c r="J252" s="19">
        <f t="shared" si="12"/>
        <v>11431.560000000001</v>
      </c>
      <c r="K252" s="19">
        <v>85</v>
      </c>
    </row>
    <row r="253" spans="9:11" x14ac:dyDescent="0.25">
      <c r="I253" s="16" t="s">
        <v>275</v>
      </c>
      <c r="J253" s="19">
        <f t="shared" si="12"/>
        <v>13622.640000000001</v>
      </c>
      <c r="K253" s="19">
        <v>100</v>
      </c>
    </row>
    <row r="254" spans="9:11" x14ac:dyDescent="0.25">
      <c r="I254" s="16" t="s">
        <v>276</v>
      </c>
      <c r="J254" s="19">
        <f t="shared" si="12"/>
        <v>16761.39</v>
      </c>
      <c r="K254" s="19">
        <v>119</v>
      </c>
    </row>
    <row r="255" spans="9:11" x14ac:dyDescent="0.25">
      <c r="I255" s="16" t="s">
        <v>277</v>
      </c>
      <c r="J255" s="19">
        <f t="shared" si="12"/>
        <v>11892.84</v>
      </c>
      <c r="K255" s="19">
        <v>84</v>
      </c>
    </row>
    <row r="256" spans="9:11" x14ac:dyDescent="0.25">
      <c r="I256" s="16" t="s">
        <v>278</v>
      </c>
      <c r="J256" s="19">
        <f t="shared" si="12"/>
        <v>13760.28</v>
      </c>
      <c r="K256" s="19">
        <v>100</v>
      </c>
    </row>
    <row r="257" spans="9:11" x14ac:dyDescent="0.25">
      <c r="I257" s="16" t="s">
        <v>279</v>
      </c>
      <c r="J257" s="19">
        <f t="shared" si="12"/>
        <v>15746.76</v>
      </c>
      <c r="K257" s="19">
        <v>118</v>
      </c>
    </row>
    <row r="258" spans="9:11" x14ac:dyDescent="0.25">
      <c r="I258" s="16" t="s">
        <v>280</v>
      </c>
      <c r="J258" s="19">
        <f t="shared" si="12"/>
        <v>19491.870000000003</v>
      </c>
      <c r="K258" s="19">
        <v>140</v>
      </c>
    </row>
    <row r="259" spans="9:11" x14ac:dyDescent="0.25">
      <c r="I259" s="16" t="s">
        <v>281</v>
      </c>
      <c r="J259" s="19">
        <f t="shared" si="12"/>
        <v>23297.43</v>
      </c>
      <c r="K259" s="19">
        <v>174</v>
      </c>
    </row>
    <row r="260" spans="9:11" x14ac:dyDescent="0.25">
      <c r="I260" s="16" t="s">
        <v>282</v>
      </c>
      <c r="J260" s="19">
        <f t="shared" si="12"/>
        <v>27714</v>
      </c>
      <c r="K260" s="19">
        <v>190</v>
      </c>
    </row>
    <row r="261" spans="9:11" x14ac:dyDescent="0.25">
      <c r="I261" s="16" t="s">
        <v>283</v>
      </c>
      <c r="J261" s="19">
        <f t="shared" si="12"/>
        <v>34216.560000000005</v>
      </c>
      <c r="K261" s="19">
        <v>250</v>
      </c>
    </row>
    <row r="262" spans="9:11" x14ac:dyDescent="0.25">
      <c r="I262" s="16" t="s">
        <v>284</v>
      </c>
      <c r="J262" s="19">
        <f t="shared" si="12"/>
        <v>38852.61</v>
      </c>
      <c r="K262" s="19">
        <v>285</v>
      </c>
    </row>
    <row r="263" spans="9:11" x14ac:dyDescent="0.25">
      <c r="I263" s="16" t="s">
        <v>285</v>
      </c>
      <c r="J263" s="19">
        <f t="shared" si="12"/>
        <v>8946.6</v>
      </c>
      <c r="K263" s="19">
        <v>72</v>
      </c>
    </row>
    <row r="264" spans="9:11" x14ac:dyDescent="0.25">
      <c r="I264" s="16" t="s">
        <v>286</v>
      </c>
      <c r="J264" s="19">
        <f t="shared" si="12"/>
        <v>11302.29</v>
      </c>
      <c r="K264" s="19">
        <v>87</v>
      </c>
    </row>
    <row r="265" spans="9:11" x14ac:dyDescent="0.25">
      <c r="I265" s="16" t="s">
        <v>287</v>
      </c>
      <c r="J265" s="19">
        <f t="shared" si="12"/>
        <v>13291.560000000001</v>
      </c>
      <c r="K265" s="19">
        <v>104</v>
      </c>
    </row>
    <row r="266" spans="9:11" x14ac:dyDescent="0.25">
      <c r="I266" s="16" t="s">
        <v>288</v>
      </c>
      <c r="J266" s="19">
        <f t="shared" ref="J266:J275" si="13">J191*0.93</f>
        <v>16874.850000000002</v>
      </c>
      <c r="K266" s="19">
        <v>130</v>
      </c>
    </row>
    <row r="267" spans="9:11" x14ac:dyDescent="0.25">
      <c r="I267" s="16" t="s">
        <v>289</v>
      </c>
      <c r="J267" s="19">
        <f t="shared" si="13"/>
        <v>11872.380000000001</v>
      </c>
      <c r="K267" s="19">
        <v>86</v>
      </c>
    </row>
    <row r="268" spans="9:11" x14ac:dyDescent="0.25">
      <c r="I268" s="16" t="s">
        <v>290</v>
      </c>
      <c r="J268" s="19">
        <f t="shared" si="13"/>
        <v>13835.61</v>
      </c>
      <c r="K268" s="19">
        <v>104</v>
      </c>
    </row>
    <row r="269" spans="9:11" x14ac:dyDescent="0.25">
      <c r="I269" s="16" t="s">
        <v>291</v>
      </c>
      <c r="J269" s="19">
        <f t="shared" si="13"/>
        <v>17013.420000000002</v>
      </c>
      <c r="K269" s="19">
        <v>136</v>
      </c>
    </row>
    <row r="270" spans="9:11" x14ac:dyDescent="0.25">
      <c r="I270" s="16" t="s">
        <v>292</v>
      </c>
      <c r="J270" s="19">
        <f t="shared" si="13"/>
        <v>20648.79</v>
      </c>
      <c r="K270" s="19">
        <v>155</v>
      </c>
    </row>
    <row r="271" spans="9:11" x14ac:dyDescent="0.25">
      <c r="I271" s="16" t="s">
        <v>293</v>
      </c>
      <c r="J271" s="19">
        <f t="shared" si="13"/>
        <v>22703.16</v>
      </c>
      <c r="K271" s="19">
        <v>174</v>
      </c>
    </row>
    <row r="272" spans="9:11" x14ac:dyDescent="0.25">
      <c r="I272" s="16" t="s">
        <v>294</v>
      </c>
      <c r="J272" s="19">
        <f t="shared" si="13"/>
        <v>28725.84</v>
      </c>
      <c r="K272" s="19">
        <v>210</v>
      </c>
    </row>
    <row r="273" spans="9:11" x14ac:dyDescent="0.25">
      <c r="I273" s="16" t="s">
        <v>295</v>
      </c>
      <c r="J273" s="19">
        <f t="shared" si="13"/>
        <v>35069.370000000003</v>
      </c>
      <c r="K273" s="19">
        <v>270</v>
      </c>
    </row>
    <row r="274" spans="9:11" x14ac:dyDescent="0.25">
      <c r="I274" s="16" t="s">
        <v>296</v>
      </c>
      <c r="J274" s="19">
        <f t="shared" si="13"/>
        <v>38563.380000000005</v>
      </c>
      <c r="K274" s="19">
        <v>305</v>
      </c>
    </row>
    <row r="275" spans="9:11" x14ac:dyDescent="0.25">
      <c r="I275" s="16" t="s">
        <v>216</v>
      </c>
      <c r="J275" s="19">
        <f t="shared" si="13"/>
        <v>48168.420000000006</v>
      </c>
      <c r="K275" s="19">
        <v>374</v>
      </c>
    </row>
  </sheetData>
  <sheetProtection algorithmName="SHA-512" hashValue="9I/VDBErycmVruxYAFfhiPfqIbUa3KbktmQ5vHLkgF6zYQbrEAJ2injC+3AnF2gX1ziJXFuNpwdLQU+EoOW/Yg==" saltValue="bCjoKClVnthB+g3tA0fIrg==" spinCount="100000" sheet="1" selectLockedCells="1"/>
  <mergeCells count="4">
    <mergeCell ref="A51:D54"/>
    <mergeCell ref="DH5:DJ5"/>
    <mergeCell ref="DH6:DJ6"/>
    <mergeCell ref="DH7:DJ7"/>
  </mergeCells>
  <conditionalFormatting sqref="C44">
    <cfRule type="cellIs" dxfId="246" priority="2" operator="greaterThan">
      <formula>$F$44</formula>
    </cfRule>
  </conditionalFormatting>
  <conditionalFormatting sqref="C45">
    <cfRule type="cellIs" dxfId="245" priority="1" operator="greaterThan">
      <formula>$F$45</formula>
    </cfRule>
  </conditionalFormatting>
  <dataValidations count="4">
    <dataValidation type="list" allowBlank="1" showInputMessage="1" showErrorMessage="1" sqref="C21" xr:uid="{00E33CA3-244B-4380-A647-C3458127BBF8}">
      <formula1>$I$126:$I$275</formula1>
    </dataValidation>
    <dataValidation type="list" allowBlank="1" showInputMessage="1" showErrorMessage="1" sqref="C43" xr:uid="{F8FAF92D-0614-4230-B014-8B3506EC76A6}">
      <formula1>$W$126:$W$127</formula1>
    </dataValidation>
    <dataValidation type="list" allowBlank="1" showInputMessage="1" showErrorMessage="1" sqref="C18" xr:uid="{5B04BA78-0A74-4D9D-A1B9-82CCD6D3BA1D}">
      <formula1>$O$126:$O$128</formula1>
    </dataValidation>
    <dataValidation type="list" allowBlank="1" showInputMessage="1" showErrorMessage="1" sqref="C17" xr:uid="{FA02D064-FA00-4B5C-AAFF-3DC0438595D3}">
      <formula1>$N$126:$N$130</formula1>
    </dataValidation>
  </dataValidations>
  <pageMargins left="0.45" right="0.45" top="0.5" bottom="0.5" header="0.3" footer="0.3"/>
  <pageSetup scale="85" orientation="portrait" horizontalDpi="1200" verticalDpi="1200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F945-30E0-4B6F-9146-0E17089DF7A8}">
  <sheetPr>
    <pageSetUpPr fitToPage="1"/>
  </sheetPr>
  <dimension ref="A5:BK132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2.28515625" customWidth="1"/>
    <col min="3" max="3" width="24.7109375" customWidth="1"/>
    <col min="4" max="4" width="5.85546875" customWidth="1"/>
    <col min="5" max="8" width="9.140625" hidden="1" customWidth="1"/>
    <col min="9" max="9" width="21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41" width="9.140625" hidden="1" customWidth="1"/>
    <col min="42" max="58" width="9" hidden="1" customWidth="1"/>
    <col min="59" max="59" width="9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1054</v>
      </c>
      <c r="BH7" s="5" t="s">
        <v>1345</v>
      </c>
      <c r="BI7" s="37"/>
      <c r="BJ7" s="37"/>
      <c r="BK7" s="37"/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96</v>
      </c>
      <c r="M14">
        <v>102</v>
      </c>
      <c r="N14">
        <v>98</v>
      </c>
      <c r="O14">
        <v>95</v>
      </c>
      <c r="P14">
        <v>98</v>
      </c>
      <c r="Q14">
        <v>95</v>
      </c>
      <c r="R14">
        <v>92</v>
      </c>
      <c r="S14">
        <v>94</v>
      </c>
      <c r="T14">
        <v>91</v>
      </c>
      <c r="U14">
        <v>89</v>
      </c>
      <c r="V14">
        <v>90</v>
      </c>
      <c r="W14">
        <v>88</v>
      </c>
      <c r="X14">
        <v>86</v>
      </c>
      <c r="Z14">
        <v>1</v>
      </c>
      <c r="AA14">
        <v>104</v>
      </c>
      <c r="AB14">
        <v>100</v>
      </c>
      <c r="AC14">
        <v>96</v>
      </c>
      <c r="AD14">
        <v>102</v>
      </c>
      <c r="AE14">
        <v>98</v>
      </c>
      <c r="AF14">
        <v>95</v>
      </c>
      <c r="AG14">
        <v>98</v>
      </c>
      <c r="AH14">
        <v>95</v>
      </c>
      <c r="AI14">
        <v>92</v>
      </c>
      <c r="AJ14">
        <v>94</v>
      </c>
      <c r="AK14">
        <v>91</v>
      </c>
      <c r="AL14">
        <v>89</v>
      </c>
      <c r="AM14">
        <v>90</v>
      </c>
      <c r="AN14">
        <v>88</v>
      </c>
      <c r="AO14">
        <v>86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91</v>
      </c>
      <c r="K15">
        <v>84</v>
      </c>
      <c r="L15">
        <v>79</v>
      </c>
      <c r="M15">
        <v>89</v>
      </c>
      <c r="N15">
        <v>83</v>
      </c>
      <c r="O15">
        <v>78</v>
      </c>
      <c r="P15">
        <v>86</v>
      </c>
      <c r="Q15">
        <v>80</v>
      </c>
      <c r="R15">
        <v>76</v>
      </c>
      <c r="S15">
        <v>82</v>
      </c>
      <c r="T15">
        <v>78</v>
      </c>
      <c r="U15">
        <v>74</v>
      </c>
      <c r="V15">
        <v>79</v>
      </c>
      <c r="W15">
        <v>76</v>
      </c>
      <c r="X15">
        <v>72</v>
      </c>
      <c r="Z15">
        <v>2</v>
      </c>
      <c r="AA15">
        <v>91</v>
      </c>
      <c r="AB15">
        <v>84</v>
      </c>
      <c r="AC15">
        <v>79</v>
      </c>
      <c r="AD15">
        <v>89</v>
      </c>
      <c r="AE15">
        <v>83</v>
      </c>
      <c r="AF15">
        <v>78</v>
      </c>
      <c r="AG15">
        <v>86</v>
      </c>
      <c r="AH15">
        <v>81</v>
      </c>
      <c r="AI15">
        <v>76</v>
      </c>
      <c r="AJ15">
        <v>82</v>
      </c>
      <c r="AK15">
        <v>78</v>
      </c>
      <c r="AL15">
        <v>74</v>
      </c>
      <c r="AM15">
        <v>79</v>
      </c>
      <c r="AN15">
        <v>76</v>
      </c>
      <c r="AO15">
        <v>73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65</v>
      </c>
      <c r="M16">
        <v>78</v>
      </c>
      <c r="N16">
        <v>71</v>
      </c>
      <c r="O16">
        <v>65</v>
      </c>
      <c r="P16">
        <v>75</v>
      </c>
      <c r="Q16">
        <v>69</v>
      </c>
      <c r="R16">
        <v>64</v>
      </c>
      <c r="S16">
        <v>73</v>
      </c>
      <c r="T16">
        <v>67</v>
      </c>
      <c r="U16">
        <v>63</v>
      </c>
      <c r="V16">
        <v>70</v>
      </c>
      <c r="W16">
        <v>65</v>
      </c>
      <c r="X16">
        <v>61</v>
      </c>
      <c r="Z16">
        <v>3</v>
      </c>
      <c r="AA16">
        <v>80</v>
      </c>
      <c r="AB16">
        <v>72</v>
      </c>
      <c r="AC16">
        <v>66</v>
      </c>
      <c r="AD16">
        <v>79</v>
      </c>
      <c r="AE16">
        <v>71</v>
      </c>
      <c r="AF16">
        <v>65</v>
      </c>
      <c r="AG16">
        <v>76</v>
      </c>
      <c r="AH16">
        <v>69</v>
      </c>
      <c r="AI16">
        <v>64</v>
      </c>
      <c r="AJ16">
        <v>73</v>
      </c>
      <c r="AK16">
        <v>67</v>
      </c>
      <c r="AL16">
        <v>63</v>
      </c>
      <c r="AM16">
        <v>70</v>
      </c>
      <c r="AN16">
        <v>66</v>
      </c>
      <c r="AO16">
        <v>62</v>
      </c>
      <c r="AQ16">
        <v>3</v>
      </c>
    </row>
    <row r="17" spans="1:63" x14ac:dyDescent="0.25">
      <c r="B17" t="s">
        <v>5</v>
      </c>
      <c r="C17" s="22">
        <v>80</v>
      </c>
      <c r="I17">
        <v>4</v>
      </c>
      <c r="J17">
        <v>71</v>
      </c>
      <c r="K17">
        <v>62</v>
      </c>
      <c r="L17">
        <v>55</v>
      </c>
      <c r="M17">
        <v>70</v>
      </c>
      <c r="N17">
        <v>61</v>
      </c>
      <c r="O17">
        <v>55</v>
      </c>
      <c r="P17">
        <v>67</v>
      </c>
      <c r="Q17">
        <v>60</v>
      </c>
      <c r="R17">
        <v>54</v>
      </c>
      <c r="S17">
        <v>65</v>
      </c>
      <c r="T17">
        <v>59</v>
      </c>
      <c r="U17">
        <v>54</v>
      </c>
      <c r="V17">
        <v>63</v>
      </c>
      <c r="W17">
        <v>57</v>
      </c>
      <c r="X17">
        <v>53</v>
      </c>
      <c r="Z17">
        <v>4</v>
      </c>
      <c r="AA17">
        <v>71</v>
      </c>
      <c r="AB17">
        <v>62</v>
      </c>
      <c r="AC17">
        <v>56</v>
      </c>
      <c r="AD17">
        <v>70</v>
      </c>
      <c r="AE17">
        <v>62</v>
      </c>
      <c r="AF17">
        <v>55</v>
      </c>
      <c r="AG17">
        <v>67</v>
      </c>
      <c r="AH17">
        <v>60</v>
      </c>
      <c r="AI17">
        <v>55</v>
      </c>
      <c r="AJ17">
        <v>65</v>
      </c>
      <c r="AK17">
        <v>59</v>
      </c>
      <c r="AL17">
        <v>54</v>
      </c>
      <c r="AM17">
        <v>63</v>
      </c>
      <c r="AN17">
        <v>57</v>
      </c>
      <c r="AO17">
        <v>53</v>
      </c>
      <c r="AQ17">
        <v>4</v>
      </c>
    </row>
    <row r="18" spans="1:63" x14ac:dyDescent="0.25">
      <c r="B18" t="s">
        <v>6</v>
      </c>
      <c r="C18" s="22">
        <v>50</v>
      </c>
      <c r="I18">
        <v>5</v>
      </c>
      <c r="J18">
        <v>63</v>
      </c>
      <c r="K18">
        <v>54</v>
      </c>
      <c r="L18">
        <v>48</v>
      </c>
      <c r="M18">
        <v>62</v>
      </c>
      <c r="N18">
        <v>54</v>
      </c>
      <c r="O18">
        <v>47</v>
      </c>
      <c r="P18">
        <v>60</v>
      </c>
      <c r="Q18">
        <v>53</v>
      </c>
      <c r="R18">
        <v>47</v>
      </c>
      <c r="S18">
        <v>58</v>
      </c>
      <c r="T18">
        <v>52</v>
      </c>
      <c r="U18">
        <v>46</v>
      </c>
      <c r="V18">
        <v>56</v>
      </c>
      <c r="W18">
        <v>51</v>
      </c>
      <c r="X18">
        <v>46</v>
      </c>
      <c r="Z18">
        <v>5</v>
      </c>
      <c r="AA18">
        <v>64</v>
      </c>
      <c r="AB18">
        <v>55</v>
      </c>
      <c r="AC18">
        <v>48</v>
      </c>
      <c r="AD18">
        <v>62</v>
      </c>
      <c r="AE18">
        <v>54</v>
      </c>
      <c r="AF18">
        <v>48</v>
      </c>
      <c r="AG18">
        <v>60</v>
      </c>
      <c r="AH18">
        <v>53</v>
      </c>
      <c r="AI18">
        <v>47</v>
      </c>
      <c r="AJ18">
        <v>58</v>
      </c>
      <c r="AK18">
        <v>52</v>
      </c>
      <c r="AL18">
        <v>47</v>
      </c>
      <c r="AM18">
        <v>56</v>
      </c>
      <c r="AN18">
        <v>51</v>
      </c>
      <c r="AO18">
        <v>46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57</v>
      </c>
      <c r="K19">
        <v>48</v>
      </c>
      <c r="L19">
        <v>42</v>
      </c>
      <c r="M19">
        <v>56</v>
      </c>
      <c r="N19">
        <v>48</v>
      </c>
      <c r="O19">
        <v>41</v>
      </c>
      <c r="P19">
        <v>54</v>
      </c>
      <c r="Q19">
        <v>47</v>
      </c>
      <c r="R19">
        <v>41</v>
      </c>
      <c r="S19">
        <v>53</v>
      </c>
      <c r="T19">
        <v>46</v>
      </c>
      <c r="U19">
        <v>41</v>
      </c>
      <c r="V19">
        <v>51</v>
      </c>
      <c r="W19">
        <v>45</v>
      </c>
      <c r="X19">
        <v>40</v>
      </c>
      <c r="Z19">
        <v>6</v>
      </c>
      <c r="AA19">
        <v>57</v>
      </c>
      <c r="AB19">
        <v>48</v>
      </c>
      <c r="AC19">
        <v>42</v>
      </c>
      <c r="AD19">
        <v>56</v>
      </c>
      <c r="AE19">
        <v>48</v>
      </c>
      <c r="AF19">
        <v>42</v>
      </c>
      <c r="AG19">
        <v>54</v>
      </c>
      <c r="AH19">
        <v>47</v>
      </c>
      <c r="AI19">
        <v>41</v>
      </c>
      <c r="AJ19">
        <v>53</v>
      </c>
      <c r="AK19">
        <v>46</v>
      </c>
      <c r="AL19">
        <v>41</v>
      </c>
      <c r="AM19">
        <v>51</v>
      </c>
      <c r="AN19">
        <v>45</v>
      </c>
      <c r="AO19">
        <v>41</v>
      </c>
      <c r="AQ19">
        <v>6</v>
      </c>
    </row>
    <row r="20" spans="1:63" x14ac:dyDescent="0.25">
      <c r="I20">
        <v>7</v>
      </c>
      <c r="J20">
        <v>52</v>
      </c>
      <c r="K20">
        <v>43</v>
      </c>
      <c r="L20">
        <v>37</v>
      </c>
      <c r="M20">
        <v>51</v>
      </c>
      <c r="N20">
        <v>43</v>
      </c>
      <c r="O20">
        <v>37</v>
      </c>
      <c r="P20">
        <v>49</v>
      </c>
      <c r="Q20">
        <v>42</v>
      </c>
      <c r="R20">
        <v>36</v>
      </c>
      <c r="S20">
        <v>48</v>
      </c>
      <c r="T20">
        <v>41</v>
      </c>
      <c r="U20">
        <v>36</v>
      </c>
      <c r="V20">
        <v>47</v>
      </c>
      <c r="W20">
        <v>40</v>
      </c>
      <c r="X20">
        <v>36</v>
      </c>
      <c r="Z20">
        <v>7</v>
      </c>
      <c r="AA20">
        <v>52</v>
      </c>
      <c r="AB20">
        <v>43</v>
      </c>
      <c r="AC20">
        <v>37</v>
      </c>
      <c r="AD20">
        <v>51</v>
      </c>
      <c r="AE20">
        <v>43</v>
      </c>
      <c r="AF20">
        <v>37</v>
      </c>
      <c r="AG20">
        <v>50</v>
      </c>
      <c r="AH20">
        <v>42</v>
      </c>
      <c r="AI20">
        <v>37</v>
      </c>
      <c r="AJ20">
        <v>48</v>
      </c>
      <c r="AK20">
        <v>41</v>
      </c>
      <c r="AL20">
        <v>36</v>
      </c>
      <c r="AM20">
        <v>47</v>
      </c>
      <c r="AN20">
        <v>41</v>
      </c>
      <c r="AO20">
        <v>36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47</v>
      </c>
      <c r="K21">
        <v>39</v>
      </c>
      <c r="L21">
        <v>33</v>
      </c>
      <c r="M21">
        <v>46</v>
      </c>
      <c r="N21">
        <v>38</v>
      </c>
      <c r="O21">
        <v>33</v>
      </c>
      <c r="P21">
        <v>45</v>
      </c>
      <c r="Q21">
        <v>38</v>
      </c>
      <c r="R21">
        <v>33</v>
      </c>
      <c r="S21">
        <v>44</v>
      </c>
      <c r="T21">
        <v>37</v>
      </c>
      <c r="U21">
        <v>32</v>
      </c>
      <c r="V21">
        <v>43</v>
      </c>
      <c r="W21">
        <v>37</v>
      </c>
      <c r="X21">
        <v>32</v>
      </c>
      <c r="Z21">
        <v>8</v>
      </c>
      <c r="AA21">
        <v>47</v>
      </c>
      <c r="AB21">
        <v>39</v>
      </c>
      <c r="AC21">
        <v>33</v>
      </c>
      <c r="AD21">
        <v>47</v>
      </c>
      <c r="AE21">
        <v>39</v>
      </c>
      <c r="AF21">
        <v>33</v>
      </c>
      <c r="AG21">
        <v>45</v>
      </c>
      <c r="AH21">
        <v>38</v>
      </c>
      <c r="AI21">
        <v>33</v>
      </c>
      <c r="AJ21">
        <v>44</v>
      </c>
      <c r="AK21">
        <v>37</v>
      </c>
      <c r="AL21">
        <v>33</v>
      </c>
      <c r="AM21">
        <v>43</v>
      </c>
      <c r="AN21">
        <v>37</v>
      </c>
      <c r="AO21">
        <v>32</v>
      </c>
      <c r="AQ21">
        <v>8</v>
      </c>
    </row>
    <row r="22" spans="1:63" x14ac:dyDescent="0.25">
      <c r="B22" t="s">
        <v>30</v>
      </c>
      <c r="C22" s="4" t="e">
        <f>VLOOKUP(C21,Model5136[],2,0)</f>
        <v>#N/A</v>
      </c>
      <c r="D22" t="s">
        <v>131</v>
      </c>
      <c r="I22">
        <v>9</v>
      </c>
      <c r="J22">
        <v>43</v>
      </c>
      <c r="K22">
        <v>35</v>
      </c>
      <c r="L22">
        <v>30</v>
      </c>
      <c r="M22">
        <v>43</v>
      </c>
      <c r="N22">
        <v>35</v>
      </c>
      <c r="O22">
        <v>29</v>
      </c>
      <c r="P22">
        <v>42</v>
      </c>
      <c r="Q22">
        <v>34</v>
      </c>
      <c r="R22">
        <v>29</v>
      </c>
      <c r="S22">
        <v>40</v>
      </c>
      <c r="T22">
        <v>34</v>
      </c>
      <c r="U22">
        <v>29</v>
      </c>
      <c r="V22">
        <v>39</v>
      </c>
      <c r="W22">
        <v>33</v>
      </c>
      <c r="X22">
        <v>29</v>
      </c>
      <c r="Z22">
        <v>9</v>
      </c>
      <c r="AA22">
        <v>43</v>
      </c>
      <c r="AB22">
        <v>35</v>
      </c>
      <c r="AC22">
        <v>30</v>
      </c>
      <c r="AD22">
        <v>43</v>
      </c>
      <c r="AE22">
        <v>35</v>
      </c>
      <c r="AF22">
        <v>30</v>
      </c>
      <c r="AG22">
        <v>42</v>
      </c>
      <c r="AH22">
        <v>35</v>
      </c>
      <c r="AI22">
        <v>30</v>
      </c>
      <c r="AJ22">
        <v>41</v>
      </c>
      <c r="AK22">
        <v>34</v>
      </c>
      <c r="AL22">
        <v>29</v>
      </c>
      <c r="AM22">
        <v>40</v>
      </c>
      <c r="AN22">
        <v>34</v>
      </c>
      <c r="AO22">
        <v>29</v>
      </c>
      <c r="AQ22">
        <v>9</v>
      </c>
    </row>
    <row r="23" spans="1:63" x14ac:dyDescent="0.25">
      <c r="B23" t="s">
        <v>31</v>
      </c>
      <c r="C23" t="e">
        <f>VLOOKUP(C21,Model5136[],3,FALSE)</f>
        <v>#N/A</v>
      </c>
      <c r="D23" t="s">
        <v>132</v>
      </c>
      <c r="I23">
        <v>10</v>
      </c>
      <c r="J23">
        <v>40</v>
      </c>
      <c r="K23">
        <v>32</v>
      </c>
      <c r="L23">
        <v>27</v>
      </c>
      <c r="M23">
        <v>39</v>
      </c>
      <c r="N23">
        <v>32</v>
      </c>
      <c r="O23">
        <v>27</v>
      </c>
      <c r="P23">
        <v>38</v>
      </c>
      <c r="Q23">
        <v>31</v>
      </c>
      <c r="R23">
        <v>27</v>
      </c>
      <c r="S23">
        <v>37</v>
      </c>
      <c r="T23">
        <v>31</v>
      </c>
      <c r="U23">
        <v>26</v>
      </c>
      <c r="V23">
        <v>37</v>
      </c>
      <c r="W23">
        <v>31</v>
      </c>
      <c r="X23">
        <v>26</v>
      </c>
      <c r="Z23">
        <v>10</v>
      </c>
      <c r="AA23">
        <v>40</v>
      </c>
      <c r="AB23">
        <v>32</v>
      </c>
      <c r="AC23">
        <v>27</v>
      </c>
      <c r="AD23">
        <v>40</v>
      </c>
      <c r="AE23">
        <v>32</v>
      </c>
      <c r="AF23">
        <v>27</v>
      </c>
      <c r="AG23">
        <v>39</v>
      </c>
      <c r="AH23">
        <v>32</v>
      </c>
      <c r="AI23">
        <v>27</v>
      </c>
      <c r="AJ23">
        <v>38</v>
      </c>
      <c r="AK23">
        <v>31</v>
      </c>
      <c r="AL23">
        <v>27</v>
      </c>
      <c r="AM23">
        <v>37</v>
      </c>
      <c r="AN23">
        <v>31</v>
      </c>
      <c r="AO23">
        <v>27</v>
      </c>
      <c r="AQ23">
        <v>10</v>
      </c>
    </row>
    <row r="24" spans="1:63" x14ac:dyDescent="0.25">
      <c r="B24" t="s">
        <v>3</v>
      </c>
      <c r="C24" s="11" t="e">
        <f t="array" ref="C24">INDEX(CUtable4135[],MATCH(1,(CUtable4135[RC]=C17)*(CUtable4135[RW]=C18)*(CUtable4135[Size]=E21),0),4)</f>
        <v>#VALUE!</v>
      </c>
      <c r="H24" s="5"/>
    </row>
    <row r="25" spans="1:63" x14ac:dyDescent="0.25">
      <c r="B25" t="s">
        <v>133</v>
      </c>
      <c r="C25" s="11">
        <f>VLOOKUP(E21,Table81217140[],2,FALSE)</f>
        <v>0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VLOOKUP(E21,Table81217140[],3,FALSE)</f>
        <v>0</v>
      </c>
      <c r="H26" s="5"/>
      <c r="I26" t="s">
        <v>218</v>
      </c>
      <c r="J26">
        <f>INDEX(LINEST(Table2x4134[CU],Table2x4134[RCR]^{1,2,3}),1)</f>
        <v>-3.8073038073038301E-2</v>
      </c>
      <c r="K26">
        <f>INDEX(LINEST(Table2x4134[CU1],Table2x4134[RCR]^{1,2,3}),1)</f>
        <v>-7.1289821289821434E-2</v>
      </c>
      <c r="L26">
        <f>INDEX(LINEST(Table2x4134[CU2],Table2x4134[RCR]^{1,2,3}),1)</f>
        <v>-0.10217560217560231</v>
      </c>
      <c r="M26">
        <f>INDEX(LINEST(Table2x4134[CU3],Table2x4134[RCR]^{1,2,3}),1)</f>
        <v>-3.7490287490287474E-2</v>
      </c>
      <c r="N26">
        <f>INDEX(LINEST(Table2x4134[CU4],Table2x4134[RCR]^{1,2,3}),1)</f>
        <v>-6.3325563325563619E-2</v>
      </c>
      <c r="O26">
        <f>INDEX(LINEST(Table2x4134[CU5],Table2x4134[RCR]^{1,2,3}),1)</f>
        <v>-8.6247086247086574E-2</v>
      </c>
      <c r="P26">
        <f>INDEX(LINEST(Table2x4134[CU6],Table2x4134[RCR]^{1,2,3}),1)</f>
        <v>-3.3411033411033603E-2</v>
      </c>
      <c r="Q26">
        <f>INDEX(LINEST(Table2x4134[CU7],Table2x4134[RCR]^{1,2,3}),1)</f>
        <v>-5.9634809634809889E-2</v>
      </c>
      <c r="R26">
        <f>INDEX(LINEST(Table2x4134[CU8],Table2x4134[RCR]^{1,2,3}),1)</f>
        <v>-7.1872571872572483E-2</v>
      </c>
      <c r="S26">
        <f>INDEX(LINEST(Table2x4134[CU9],Table2x4134[RCR]^{1,2,3}),1)</f>
        <v>-3.2439782439782738E-2</v>
      </c>
      <c r="T26">
        <f>INDEX(LINEST(Table2x4134[CU10],Table2x4134[RCR]^{1,2,3}),1)</f>
        <v>-4.390054390054407E-2</v>
      </c>
      <c r="U26">
        <f>INDEX(LINEST(Table2x4134[CU11],Table2x4134[RCR]^{1,2,3}),1)</f>
        <v>-6.0800310800311022E-2</v>
      </c>
      <c r="V26">
        <f>INDEX(LINEST(Table2x4134[CU12],Table2x4134[RCR]^{1,2,3}),1)</f>
        <v>-3.010878010878016E-2</v>
      </c>
      <c r="W26">
        <f>INDEX(LINEST(Table2x4134[CU13],Table2x4134[RCR]^{1,2,3}),1)</f>
        <v>-3.86557886557891E-2</v>
      </c>
      <c r="X26">
        <f>INDEX(LINEST(Table2x4134[CU14],Table2x4134[RCR]^{1,2,3}),1)</f>
        <v>-5.846930846930852E-2</v>
      </c>
      <c r="Z26" t="s">
        <v>218</v>
      </c>
      <c r="AA26">
        <f>INDEX(LINEST(Table2x2141[CU],Table2x2141[RCR]^{1,2,3}),1)</f>
        <v>-3.8073038073038447E-2</v>
      </c>
      <c r="AB26">
        <f>INDEX(LINEST(Table2x2141[CU1],Table2x2141[RCR]^{1,2,3}),1)</f>
        <v>-7.1289821289821781E-2</v>
      </c>
      <c r="AC26">
        <f>INDEX(LINEST(Table2x2141[CU2],Table2x2141[RCR]^{1,2,3}),1)</f>
        <v>-9.4988344988345186E-2</v>
      </c>
      <c r="AD26">
        <f>INDEX(LINEST(Table2x2141[CU3],Table2x2141[RCR]^{1,2,3}),1)</f>
        <v>-3.1468531468531957E-2</v>
      </c>
      <c r="AE26">
        <f>INDEX(LINEST(Table2x2141[CU4],Table2x2141[RCR]^{1,2,3}),1)</f>
        <v>-6.4879564879565518E-2</v>
      </c>
      <c r="AF26">
        <f>INDEX(LINEST(Table2x2141[CU5],Table2x2141[RCR]^{1,2,3}),1)</f>
        <v>-9.0132090132090559E-2</v>
      </c>
      <c r="AG26">
        <f>INDEX(LINEST(Table2x2141[CU6],Table2x2141[RCR]^{1,2,3}),1)</f>
        <v>-2.758352758352782E-2</v>
      </c>
      <c r="AH26">
        <f>INDEX(LINEST(Table2x2141[CU7],Table2x2141[RCR]^{1,2,3}),1)</f>
        <v>-5.0699300699301016E-2</v>
      </c>
      <c r="AI26">
        <f>INDEX(LINEST(Table2x2141[CU8],Table2x2141[RCR]^{1,2,3}),1)</f>
        <v>-7.478632478632502E-2</v>
      </c>
      <c r="AJ26">
        <f>INDEX(LINEST(Table2x2141[CU9],Table2x2141[RCR]^{1,2,3}),1)</f>
        <v>-2.7777777777778102E-2</v>
      </c>
      <c r="AK26">
        <f>INDEX(LINEST(Table2x2141[CU10],Table2x2141[RCR]^{1,2,3}),1)</f>
        <v>-4.390054390054407E-2</v>
      </c>
      <c r="AL26">
        <f>INDEX(LINEST(Table2x2141[CU11],Table2x2141[RCR]^{1,2,3}),1)</f>
        <v>-5.9246309246309727E-2</v>
      </c>
      <c r="AM26">
        <f>INDEX(LINEST(Table2x2141[CU12],Table2x2141[RCR]^{1,2,3}),1)</f>
        <v>-3.1274281274281585E-2</v>
      </c>
      <c r="AN26">
        <f>INDEX(LINEST(Table2x2141[CU13],Table2x2141[RCR]^{1,2,3}),1)</f>
        <v>-3.9821289821290018E-2</v>
      </c>
      <c r="AO26">
        <f>INDEX(LINEST(Table2x2141[CU14],Table2x2141[RCR]^{1,2,3}),1)</f>
        <v>-4.6620046620046665E-2</v>
      </c>
      <c r="AQ26" t="s">
        <v>218</v>
      </c>
      <c r="AR26" t="e">
        <f>INDEX(LINEST(Table1x4143[CU],Table1x4143[RCR]^{1,2,3}),1)</f>
        <v>#VALUE!</v>
      </c>
      <c r="AS26" t="e">
        <f>INDEX(LINEST(Table1x4143[CU1],Table1x4143[RCR]^{1,2,3}),1)</f>
        <v>#VALUE!</v>
      </c>
      <c r="AT26" t="e">
        <f>INDEX(LINEST(Table1x4143[CU2],Table1x4143[RCR]^{1,2,3}),1)</f>
        <v>#VALUE!</v>
      </c>
      <c r="AU26" t="e">
        <f>INDEX(LINEST(Table1x4143[CU3],Table1x4143[RCR]^{1,2,3}),1)</f>
        <v>#VALUE!</v>
      </c>
      <c r="AV26" t="e">
        <f>INDEX(LINEST(Table1x4143[CU4],Table1x4143[RCR]^{1,2,3}),1)</f>
        <v>#VALUE!</v>
      </c>
      <c r="AW26" t="e">
        <f>INDEX(LINEST(Table1x4143[CU5],Table1x4143[RCR]^{1,2,3}),1)</f>
        <v>#VALUE!</v>
      </c>
      <c r="AX26" t="e">
        <f>INDEX(LINEST(Table1x4143[CU6],Table1x4143[RCR]^{1,2,3}),1)</f>
        <v>#VALUE!</v>
      </c>
      <c r="AY26" t="e">
        <f>INDEX(LINEST(Table1x4143[CU7],Table1x4143[RCR]^{1,2,3}),1)</f>
        <v>#VALUE!</v>
      </c>
      <c r="AZ26" t="e">
        <f>INDEX(LINEST(Table1x4143[CU8],Table1x4143[RCR]^{1,2,3}),1)</f>
        <v>#VALUE!</v>
      </c>
      <c r="BA26" t="e">
        <f>INDEX(LINEST(Table1x4143[CU9],Table1x4143[RCR]^{1,2,3}),1)</f>
        <v>#VALUE!</v>
      </c>
      <c r="BB26" t="e">
        <f>INDEX(LINEST(Table1x4143[CU10],Table1x4143[RCR]^{1,2,3}),1)</f>
        <v>#VALUE!</v>
      </c>
      <c r="BC26" t="e">
        <f>INDEX(LINEST(Table1x4143[CU11],Table1x4143[RCR]^{1,2,3}),1)</f>
        <v>#VALUE!</v>
      </c>
      <c r="BD26" t="e">
        <f>INDEX(LINEST(Table1x4143[CU12],Table1x4143[RCR]^{1,2,3}),1)</f>
        <v>#VALUE!</v>
      </c>
      <c r="BE26" t="e">
        <f>INDEX(LINEST(Table1x4143[CU13],Table1x4143[RCR]^{1,2,3}),1)</f>
        <v>#VALUE!</v>
      </c>
      <c r="BF26" t="e">
        <f>INDEX(LINEST(Table1x4143[CU14],Table1x4143[RCR]^{1,2,3}),1)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INDEX(LINEST(Table2x4134[CU],Table2x4134[RCR]^{1,2,3}),1,2)</f>
        <v>1.2179487179487198</v>
      </c>
      <c r="K27">
        <f>INDEX(LINEST(Table2x4134[CU1],Table2x4134[RCR]^{1,2,3}),1,2)</f>
        <v>1.9224941724941735</v>
      </c>
      <c r="L27">
        <f>INDEX(LINEST(Table2x4134[CU2],Table2x4134[RCR]^{1,2,3}),1,2)</f>
        <v>2.5454545454545463</v>
      </c>
      <c r="M27">
        <f>INDEX(LINEST(Table2x4134[CU3],Table2x4134[RCR]^{1,2,3}),1,2)</f>
        <v>1.1824009324009315</v>
      </c>
      <c r="N27">
        <f>INDEX(LINEST(Table2x4134[CU4],Table2x4134[RCR]^{1,2,3}),1,2)</f>
        <v>1.7564102564102599</v>
      </c>
      <c r="O27">
        <f>INDEX(LINEST(Table2x4134[CU5],Table2x4134[RCR]^{1,2,3}),1,2)</f>
        <v>2.2634032634032679</v>
      </c>
      <c r="P27">
        <f>INDEX(LINEST(Table2x4134[CU6],Table2x4134[RCR]^{1,2,3}),1,2)</f>
        <v>1.0967365967365996</v>
      </c>
      <c r="Q27">
        <f>INDEX(LINEST(Table2x4134[CU7],Table2x4134[RCR]^{1,2,3}),1,2)</f>
        <v>1.6252913752913782</v>
      </c>
      <c r="R27">
        <f>INDEX(LINEST(Table2x4134[CU8],Table2x4134[RCR]^{1,2,3}),1,2)</f>
        <v>1.9662004662004751</v>
      </c>
      <c r="S27">
        <f>INDEX(LINEST(Table2x4134[CU9],Table2x4134[RCR]^{1,2,3}),1,2)</f>
        <v>1.0168997668997715</v>
      </c>
      <c r="T27">
        <f>INDEX(LINEST(Table2x4134[CU10],Table2x4134[RCR]^{1,2,3}),1,2)</f>
        <v>1.3310023310023333</v>
      </c>
      <c r="U27">
        <f>INDEX(LINEST(Table2x4134[CU11],Table2x4134[RCR]^{1,2,3}),1,2)</f>
        <v>1.696386946386949</v>
      </c>
      <c r="V27">
        <f>INDEX(LINEST(Table2x4134[CU12],Table2x4134[RCR]^{1,2,3}),1,2)</f>
        <v>0.97494172494172471</v>
      </c>
      <c r="W27">
        <f>INDEX(LINEST(Table2x4134[CU13],Table2x4134[RCR]^{1,2,3}),1,2)</f>
        <v>1.2208624708624776</v>
      </c>
      <c r="X27">
        <f>INDEX(LINEST(Table2x4134[CU14],Table2x4134[RCR]^{1,2,3}),1,2)</f>
        <v>1.6078088578088581</v>
      </c>
      <c r="Z27" t="s">
        <v>219</v>
      </c>
      <c r="AA27">
        <f>INDEX(LINEST(Table2x2141[CU],Table2x2141[RCR]^{1,2,3}),1,2)</f>
        <v>1.2062937062937111</v>
      </c>
      <c r="AB27">
        <f>INDEX(LINEST(Table2x2141[CU1],Table2x2141[RCR]^{1,2,3}),1,2)</f>
        <v>1.9108391608391677</v>
      </c>
      <c r="AC27">
        <f>INDEX(LINEST(Table2x2141[CU2],Table2x2141[RCR]^{1,2,3}),1,2)</f>
        <v>2.4201631701631716</v>
      </c>
      <c r="AD27">
        <f>INDEX(LINEST(Table2x2141[CU3],Table2x2141[RCR]^{1,2,3}),1,2)</f>
        <v>1.1013986013986088</v>
      </c>
      <c r="AE27">
        <f>INDEX(LINEST(Table2x2141[CU4],Table2x2141[RCR]^{1,2,3}),1,2)</f>
        <v>1.7680652680652769</v>
      </c>
      <c r="AF27">
        <f>INDEX(LINEST(Table2x2141[CU5],Table2x2141[RCR]^{1,2,3}),1,2)</f>
        <v>2.3065268065268132</v>
      </c>
      <c r="AG27">
        <f>INDEX(LINEST(Table2x2141[CU6],Table2x2141[RCR]^{1,2,3}),1,2)</f>
        <v>1.0128205128205159</v>
      </c>
      <c r="AH27">
        <f>INDEX(LINEST(Table2x2141[CU7],Table2x2141[RCR]^{1,2,3}),1,2)</f>
        <v>1.5145687645687689</v>
      </c>
      <c r="AI27">
        <f>INDEX(LINEST(Table2x2141[CU8],Table2x2141[RCR]^{1,2,3}),1,2)</f>
        <v>1.999417249417252</v>
      </c>
      <c r="AJ27">
        <f>INDEX(LINEST(Table2x2141[CU9],Table2x2141[RCR]^{1,2,3}),1,2)</f>
        <v>0.97144522144522616</v>
      </c>
      <c r="AK27">
        <f>INDEX(LINEST(Table2x2141[CU10],Table2x2141[RCR]^{1,2,3}),1,2)</f>
        <v>1.3310023310023333</v>
      </c>
      <c r="AL27">
        <f>INDEX(LINEST(Table2x2141[CU11],Table2x2141[RCR]^{1,2,3}),1,2)</f>
        <v>1.6777389277389347</v>
      </c>
      <c r="AM27">
        <f>INDEX(LINEST(Table2x2141[CU12],Table2x2141[RCR]^{1,2,3}),1,2)</f>
        <v>0.99941724941725407</v>
      </c>
      <c r="AN27">
        <f>INDEX(LINEST(Table2x2141[CU13],Table2x2141[RCR]^{1,2,3}),1,2)</f>
        <v>1.231351981351984</v>
      </c>
      <c r="AO27">
        <f>INDEX(LINEST(Table2x2141[CU14],Table2x2141[RCR]^{1,2,3}),1,2)</f>
        <v>1.4289044289044293</v>
      </c>
      <c r="AQ27" t="s">
        <v>219</v>
      </c>
      <c r="AR27" t="e">
        <f>INDEX(LINEST(Table1x4143[CU],Table1x4143[RCR]^{1,2,3}),1,2)</f>
        <v>#VALUE!</v>
      </c>
      <c r="AS27" t="e">
        <f>INDEX(LINEST(Table1x4143[CU1],Table1x4143[RCR]^{1,2,3}),1,2)</f>
        <v>#VALUE!</v>
      </c>
      <c r="AT27" t="e">
        <f>INDEX(LINEST(Table1x4143[CU2],Table1x4143[RCR]^{1,2,3}),1,2)</f>
        <v>#VALUE!</v>
      </c>
      <c r="AU27" t="e">
        <f>INDEX(LINEST(Table1x4143[CU3],Table1x4143[RCR]^{1,2,3}),1,2)</f>
        <v>#VALUE!</v>
      </c>
      <c r="AV27" t="e">
        <f>INDEX(LINEST(Table1x4143[CU4],Table1x4143[RCR]^{1,2,3}),1,2)</f>
        <v>#VALUE!</v>
      </c>
      <c r="AW27" t="e">
        <f>INDEX(LINEST(Table1x4143[CU5],Table1x4143[RCR]^{1,2,3}),1,2)</f>
        <v>#VALUE!</v>
      </c>
      <c r="AX27" t="e">
        <f>INDEX(LINEST(Table1x4143[CU6],Table1x4143[RCR]^{1,2,3}),1,2)</f>
        <v>#VALUE!</v>
      </c>
      <c r="AY27" t="e">
        <f>INDEX(LINEST(Table1x4143[CU7],Table1x4143[RCR]^{1,2,3}),1,2)</f>
        <v>#VALUE!</v>
      </c>
      <c r="AZ27" t="e">
        <f>INDEX(LINEST(Table1x4143[CU8],Table1x4143[RCR]^{1,2,3}),1,2)</f>
        <v>#VALUE!</v>
      </c>
      <c r="BA27" t="e">
        <f>INDEX(LINEST(Table1x4143[CU9],Table1x4143[RCR]^{1,2,3}),1,2)</f>
        <v>#VALUE!</v>
      </c>
      <c r="BB27" t="e">
        <f>INDEX(LINEST(Table1x4143[CU10],Table1x4143[RCR]^{1,2,3}),1,2)</f>
        <v>#VALUE!</v>
      </c>
      <c r="BC27" t="e">
        <f>INDEX(LINEST(Table1x4143[CU11],Table1x4143[RCR]^{1,2,3}),1,2)</f>
        <v>#VALUE!</v>
      </c>
      <c r="BD27" t="e">
        <f>INDEX(LINEST(Table1x4143[CU12],Table1x4143[RCR]^{1,2,3}),1,2)</f>
        <v>#VALUE!</v>
      </c>
      <c r="BE27" t="e">
        <f>INDEX(LINEST(Table1x4143[CU13],Table1x4143[RCR]^{1,2,3}),1,2)</f>
        <v>#VALUE!</v>
      </c>
      <c r="BF27" t="e">
        <f>INDEX(LINEST(Table1x4143[CU14],Table1x4143[RCR]^{1,2,3}),1,2)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INDEX(LINEST(Table2x4134[CU],Table2x4134[RCR]^{1,2,3}),1,3)</f>
        <v>-16.291763791763788</v>
      </c>
      <c r="K28">
        <f>INDEX(LINEST(Table2x4134[CU1],Table2x4134[RCR]^{1,2,3}),1,3)</f>
        <v>-20.809246309246301</v>
      </c>
      <c r="L28">
        <f>INDEX(LINEST(Table2x4134[CU2],Table2x4134[RCR]^{1,2,3}),1,3)</f>
        <v>-24.436285936285927</v>
      </c>
      <c r="M28">
        <f>INDEX(LINEST(Table2x4134[CU3],Table2x4134[RCR]^{1,2,3}),1,3)</f>
        <v>-15.781274281274271</v>
      </c>
      <c r="N28">
        <f>INDEX(LINEST(Table2x4134[CU4],Table2x4134[RCR]^{1,2,3}),1,3)</f>
        <v>-19.651126651126656</v>
      </c>
      <c r="O28">
        <f>INDEX(LINEST(Table2x4134[CU5],Table2x4134[RCR]^{1,2,3}),1,3)</f>
        <v>-22.939393939393952</v>
      </c>
      <c r="P28">
        <f>INDEX(LINEST(Table2x4134[CU6],Table2x4134[RCR]^{1,2,3}),1,3)</f>
        <v>-14.930458430458438</v>
      </c>
      <c r="Q28">
        <f>INDEX(LINEST(Table2x4134[CU7],Table2x4134[RCR]^{1,2,3}),1,3)</f>
        <v>-18.327894327894327</v>
      </c>
      <c r="R28">
        <f>INDEX(LINEST(Table2x4134[CU8],Table2x4134[RCR]^{1,2,3}),1,3)</f>
        <v>-20.901320901320933</v>
      </c>
      <c r="S28">
        <f>INDEX(LINEST(Table2x4134[CU9],Table2x4134[RCR]^{1,2,3}),1,3)</f>
        <v>-13.858585858585876</v>
      </c>
      <c r="T28">
        <f>INDEX(LINEST(Table2x4134[CU10],Table2x4134[RCR]^{1,2,3}),1,3)</f>
        <v>-16.42696192696193</v>
      </c>
      <c r="U28">
        <f>INDEX(LINEST(Table2x4134[CU11],Table2x4134[RCR]^{1,2,3}),1,3)</f>
        <v>-18.894327894327898</v>
      </c>
      <c r="V28">
        <f>INDEX(LINEST(Table2x4134[CU12],Table2x4134[RCR]^{1,2,3}),1,3)</f>
        <v>-13.273504273504264</v>
      </c>
      <c r="W28">
        <f>INDEX(LINEST(Table2x4134[CU13],Table2x4134[RCR]^{1,2,3}),1,3)</f>
        <v>-15.475912975912999</v>
      </c>
      <c r="X28">
        <f>INDEX(LINEST(Table2x4134[CU14],Table2x4134[RCR]^{1,2,3}),1,3)</f>
        <v>-17.843045843045839</v>
      </c>
      <c r="Z28" t="s">
        <v>220</v>
      </c>
      <c r="AA28">
        <f>INDEX(LINEST(Table2x2141[CU],Table2x2141[RCR]^{1,2,3}),1,3)</f>
        <v>-16.175213675213687</v>
      </c>
      <c r="AB28">
        <f>INDEX(LINEST(Table2x2141[CU1],Table2x2141[RCR]^{1,2,3}),1,3)</f>
        <v>-20.692696192696214</v>
      </c>
      <c r="AC28">
        <f>INDEX(LINEST(Table2x2141[CU2],Table2x2141[RCR]^{1,2,3}),1,3)</f>
        <v>-23.877622377622369</v>
      </c>
      <c r="AD28">
        <f>INDEX(LINEST(Table2x2141[CU3],Table2x2141[RCR]^{1,2,3}),1,3)</f>
        <v>-15.475524475524503</v>
      </c>
      <c r="AE28">
        <f>INDEX(LINEST(Table2x2141[CU4],Table2x2141[RCR]^{1,2,3}),1,3)</f>
        <v>-19.605283605283635</v>
      </c>
      <c r="AF28">
        <f>INDEX(LINEST(Table2x2141[CU5],Table2x2141[RCR]^{1,2,3}),1,3)</f>
        <v>-22.964646464646489</v>
      </c>
      <c r="AG28">
        <f>INDEX(LINEST(Table2x2141[CU6],Table2x2141[RCR]^{1,2,3}),1,3)</f>
        <v>-14.586635586635595</v>
      </c>
      <c r="AH28">
        <f>INDEX(LINEST(Table2x2141[CU7],Table2x2141[RCR]^{1,2,3}),1,3)</f>
        <v>-17.995337995338009</v>
      </c>
      <c r="AI28">
        <f>INDEX(LINEST(Table2x2141[CU8],Table2x2141[RCR]^{1,2,3}),1,3)</f>
        <v>-20.917637917637915</v>
      </c>
      <c r="AJ28">
        <f>INDEX(LINEST(Table2x2141[CU9],Table2x2141[RCR]^{1,2,3}),1,3)</f>
        <v>-13.75485625485627</v>
      </c>
      <c r="AK28">
        <f>INDEX(LINEST(Table2x2141[CU10],Table2x2141[RCR]^{1,2,3}),1,3)</f>
        <v>-16.42696192696193</v>
      </c>
      <c r="AL28">
        <f>INDEX(LINEST(Table2x2141[CU11],Table2x2141[RCR]^{1,2,3}),1,3)</f>
        <v>-18.779331779331805</v>
      </c>
      <c r="AM28">
        <f>INDEX(LINEST(Table2x2141[CU12],Table2x2141[RCR]^{1,2,3}),1,3)</f>
        <v>-13.373737373737391</v>
      </c>
      <c r="AN28">
        <f>INDEX(LINEST(Table2x2141[CU13],Table2x2141[RCR]^{1,2,3}),1,3)</f>
        <v>-15.436285936285941</v>
      </c>
      <c r="AO28">
        <f>INDEX(LINEST(Table2x2141[CU14],Table2x2141[RCR]^{1,2,3}),1,3)</f>
        <v>-17.144522144522139</v>
      </c>
      <c r="AQ28" t="s">
        <v>220</v>
      </c>
      <c r="AR28" t="e">
        <f>INDEX(LINEST(Table1x4143[CU],Table1x4143[RCR]^{1,2,3}),1,3)</f>
        <v>#VALUE!</v>
      </c>
      <c r="AS28" t="e">
        <f>INDEX(LINEST(Table1x4143[CU1],Table1x4143[RCR]^{1,2,3}),1,3)</f>
        <v>#VALUE!</v>
      </c>
      <c r="AT28" t="e">
        <f>INDEX(LINEST(Table1x4143[CU2],Table1x4143[RCR]^{1,2,3}),1,3)</f>
        <v>#VALUE!</v>
      </c>
      <c r="AU28" t="e">
        <f>INDEX(LINEST(Table1x4143[CU3],Table1x4143[RCR]^{1,2,3}),1,3)</f>
        <v>#VALUE!</v>
      </c>
      <c r="AV28" t="e">
        <f>INDEX(LINEST(Table1x4143[CU4],Table1x4143[RCR]^{1,2,3}),1,3)</f>
        <v>#VALUE!</v>
      </c>
      <c r="AW28" t="e">
        <f>INDEX(LINEST(Table1x4143[CU5],Table1x4143[RCR]^{1,2,3}),1,3)</f>
        <v>#VALUE!</v>
      </c>
      <c r="AX28" t="e">
        <f>INDEX(LINEST(Table1x4143[CU6],Table1x4143[RCR]^{1,2,3}),1,3)</f>
        <v>#VALUE!</v>
      </c>
      <c r="AY28" t="e">
        <f>INDEX(LINEST(Table1x4143[CU7],Table1x4143[RCR]^{1,2,3}),1,3)</f>
        <v>#VALUE!</v>
      </c>
      <c r="AZ28" t="e">
        <f>INDEX(LINEST(Table1x4143[CU8],Table1x4143[RCR]^{1,2,3}),1,3)</f>
        <v>#VALUE!</v>
      </c>
      <c r="BA28" t="e">
        <f>INDEX(LINEST(Table1x4143[CU9],Table1x4143[RCR]^{1,2,3}),1,3)</f>
        <v>#VALUE!</v>
      </c>
      <c r="BB28" t="e">
        <f>INDEX(LINEST(Table1x4143[CU10],Table1x4143[RCR]^{1,2,3}),1,3)</f>
        <v>#VALUE!</v>
      </c>
      <c r="BC28" t="e">
        <f>INDEX(LINEST(Table1x4143[CU11],Table1x4143[RCR]^{1,2,3}),1,3)</f>
        <v>#VALUE!</v>
      </c>
      <c r="BD28" t="e">
        <f>INDEX(LINEST(Table1x4143[CU12],Table1x4143[RCR]^{1,2,3}),1,3)</f>
        <v>#VALUE!</v>
      </c>
      <c r="BE28" t="e">
        <f>INDEX(LINEST(Table1x4143[CU13],Table1x4143[RCR]^{1,2,3}),1,3)</f>
        <v>#VALUE!</v>
      </c>
      <c r="BF28" t="e">
        <f>INDEX(LINEST(Table1x4143[CU14],Table1x4143[RCR]^{1,2,3}),1,3)</f>
        <v>#VALUE!</v>
      </c>
    </row>
    <row r="29" spans="1:63" x14ac:dyDescent="0.25">
      <c r="C29" s="3"/>
      <c r="H29" s="5"/>
      <c r="I29" t="s">
        <v>221</v>
      </c>
      <c r="J29">
        <f>INDEX(LINEST(Table2x4134[CU],Table2x4134[RCR]^{1,2,3}),1,4)</f>
        <v>119.02797202797203</v>
      </c>
      <c r="K29">
        <f>INDEX(LINEST(Table2x4134[CU1],Table2x4134[RCR]^{1,2,3}),1,4)</f>
        <v>118.90909090909088</v>
      </c>
      <c r="L29">
        <f>INDEX(LINEST(Table2x4134[CU2],Table2x4134[RCR]^{1,2,3}),1,4)</f>
        <v>118.5524475524475</v>
      </c>
      <c r="M29">
        <f>INDEX(LINEST(Table2x4134[CU3],Table2x4134[RCR]^{1,2,3}),1,4)</f>
        <v>116.1958041958042</v>
      </c>
      <c r="N29">
        <f>INDEX(LINEST(Table2x4134[CU4],Table2x4134[RCR]^{1,2,3}),1,4)</f>
        <v>115.92307692307691</v>
      </c>
      <c r="O29">
        <f>INDEX(LINEST(Table2x4134[CU5],Table2x4134[RCR]^{1,2,3}),1,4)</f>
        <v>115.83216783216784</v>
      </c>
      <c r="P29">
        <f>INDEX(LINEST(Table2x4134[CU6],Table2x4134[RCR]^{1,2,3}),1,4)</f>
        <v>111.36363636363633</v>
      </c>
      <c r="Q29">
        <f>INDEX(LINEST(Table2x4134[CU7],Table2x4134[RCR]^{1,2,3}),1,4)</f>
        <v>111.15384615384613</v>
      </c>
      <c r="R29">
        <f>INDEX(LINEST(Table2x4134[CU8],Table2x4134[RCR]^{1,2,3}),1,4)</f>
        <v>110.90909090909092</v>
      </c>
      <c r="S29">
        <f>INDEX(LINEST(Table2x4134[CU9],Table2x4134[RCR]^{1,2,3}),1,4)</f>
        <v>106.25874125874127</v>
      </c>
      <c r="T29">
        <f>INDEX(LINEST(Table2x4134[CU10],Table2x4134[RCR]^{1,2,3}),1,4)</f>
        <v>105.98601398601397</v>
      </c>
      <c r="U29">
        <f>INDEX(LINEST(Table2x4134[CU11],Table2x4134[RCR]^{1,2,3}),1,4)</f>
        <v>106</v>
      </c>
      <c r="V29">
        <f>INDEX(LINEST(Table2x4134[CU12],Table2x4134[RCR]^{1,2,3}),1,4)</f>
        <v>102.06993006993005</v>
      </c>
      <c r="W29">
        <f>INDEX(LINEST(Table2x4134[CU13],Table2x4134[RCR]^{1,2,3}),1,4)</f>
        <v>102.09790209790211</v>
      </c>
      <c r="X29">
        <f>INDEX(LINEST(Table2x4134[CU14],Table2x4134[RCR]^{1,2,3}),1,4)</f>
        <v>102.02097902097903</v>
      </c>
      <c r="Z29" t="s">
        <v>221</v>
      </c>
      <c r="AA29">
        <f>INDEX(LINEST(Table2x2141[CU],Table2x2141[RCR]^{1,2,3}),1,4)</f>
        <v>118.94405594405592</v>
      </c>
      <c r="AB29">
        <f>INDEX(LINEST(Table2x2141[CU1],Table2x2141[RCR]^{1,2,3}),1,4)</f>
        <v>118.82517482517484</v>
      </c>
      <c r="AC29">
        <f>INDEX(LINEST(Table2x2141[CU2],Table2x2141[RCR]^{1,2,3}),1,4)</f>
        <v>118.34965034965032</v>
      </c>
      <c r="AD29">
        <f>INDEX(LINEST(Table2x2141[CU3],Table2x2141[RCR]^{1,2,3}),1,4)</f>
        <v>116.11888111888112</v>
      </c>
      <c r="AE29">
        <f>INDEX(LINEST(Table2x2141[CU4],Table2x2141[RCR]^{1,2,3}),1,4)</f>
        <v>115.89510489510488</v>
      </c>
      <c r="AF29">
        <f>INDEX(LINEST(Table2x2141[CU5],Table2x2141[RCR]^{1,2,3}),1,4)</f>
        <v>115.79020979020979</v>
      </c>
      <c r="AG29">
        <f>INDEX(LINEST(Table2x2141[CU6],Table2x2141[RCR]^{1,2,3}),1,4)</f>
        <v>111.25174825174825</v>
      </c>
      <c r="AH29">
        <f>INDEX(LINEST(Table2x2141[CU7],Table2x2141[RCR]^{1,2,3}),1,4)</f>
        <v>111.18181818181819</v>
      </c>
      <c r="AI29">
        <f>INDEX(LINEST(Table2x2141[CU8],Table2x2141[RCR]^{1,2,3}),1,4)</f>
        <v>110.90209790209785</v>
      </c>
      <c r="AJ29">
        <f>INDEX(LINEST(Table2x2141[CU9],Table2x2141[RCR]^{1,2,3}),1,4)</f>
        <v>106.23076923076923</v>
      </c>
      <c r="AK29">
        <f>INDEX(LINEST(Table2x2141[CU10],Table2x2141[RCR]^{1,2,3}),1,4)</f>
        <v>105.98601398601397</v>
      </c>
      <c r="AL29">
        <f>INDEX(LINEST(Table2x2141[CU11],Table2x2141[RCR]^{1,2,3}),1,4)</f>
        <v>105.92307692307696</v>
      </c>
      <c r="AM29">
        <f>INDEX(LINEST(Table2x2141[CU12],Table2x2141[RCR]^{1,2,3}),1,4)</f>
        <v>102.12587412587412</v>
      </c>
      <c r="AN29">
        <f>INDEX(LINEST(Table2x2141[CU13],Table2x2141[RCR]^{1,2,3}),1,4)</f>
        <v>102.12587412587411</v>
      </c>
      <c r="AO29">
        <f>INDEX(LINEST(Table2x2141[CU14],Table2x2141[RCR]^{1,2,3}),1,4)</f>
        <v>101.89510489510486</v>
      </c>
      <c r="AQ29" t="s">
        <v>221</v>
      </c>
      <c r="AR29" t="e">
        <f>INDEX(LINEST(Table1x4143[CU],Table1x4143[RCR]^{1,2,3}),1,4)</f>
        <v>#VALUE!</v>
      </c>
      <c r="AS29" t="e">
        <f>INDEX(LINEST(Table1x4143[CU1],Table1x4143[RCR]^{1,2,3}),1,4)</f>
        <v>#VALUE!</v>
      </c>
      <c r="AT29" t="e">
        <f>INDEX(LINEST(Table1x4143[CU2],Table1x4143[RCR]^{1,2,3}),1,4)</f>
        <v>#VALUE!</v>
      </c>
      <c r="AU29" t="e">
        <f>INDEX(LINEST(Table1x4143[CU3],Table1x4143[RCR]^{1,2,3}),1,4)</f>
        <v>#VALUE!</v>
      </c>
      <c r="AV29" t="e">
        <f>INDEX(LINEST(Table1x4143[CU4],Table1x4143[RCR]^{1,2,3}),1,4)</f>
        <v>#VALUE!</v>
      </c>
      <c r="AW29" t="e">
        <f>INDEX(LINEST(Table1x4143[CU5],Table1x4143[RCR]^{1,2,3}),1,4)</f>
        <v>#VALUE!</v>
      </c>
      <c r="AX29" t="e">
        <f>INDEX(LINEST(Table1x4143[CU6],Table1x4143[RCR]^{1,2,3}),1,4)</f>
        <v>#VALUE!</v>
      </c>
      <c r="AY29" t="e">
        <f>INDEX(LINEST(Table1x4143[CU7],Table1x4143[RCR]^{1,2,3}),1,4)</f>
        <v>#VALUE!</v>
      </c>
      <c r="AZ29" t="e">
        <f>INDEX(LINEST(Table1x4143[CU8],Table1x4143[RCR]^{1,2,3}),1,4)</f>
        <v>#VALUE!</v>
      </c>
      <c r="BA29" t="e">
        <f>INDEX(LINEST(Table1x4143[CU9],Table1x4143[RCR]^{1,2,3}),1,4)</f>
        <v>#VALUE!</v>
      </c>
      <c r="BB29" t="e">
        <f>INDEX(LINEST(Table1x4143[CU10],Table1x4143[RCR]^{1,2,3}),1,4)</f>
        <v>#VALUE!</v>
      </c>
      <c r="BC29" t="e">
        <f>INDEX(LINEST(Table1x4143[CU11],Table1x4143[RCR]^{1,2,3}),1,4)</f>
        <v>#VALUE!</v>
      </c>
      <c r="BD29" t="e">
        <f>INDEX(LINEST(Table1x4143[CU12],Table1x4143[RCR]^{1,2,3}),1,4)</f>
        <v>#VALUE!</v>
      </c>
      <c r="BE29" t="e">
        <f>INDEX(LINEST(Table1x4143[CU13],Table1x4143[RCR]^{1,2,3}),1,4)</f>
        <v>#VALUE!</v>
      </c>
      <c r="BF29" t="e">
        <f>INDEX(LINEST(Table1x4143[CU14],Table1x4143[RCR]^{1,2,3}),1,4)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0</v>
      </c>
      <c r="F44" s="12">
        <f>E44*(C14-C15)</f>
        <v>0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0</v>
      </c>
      <c r="F45" s="12">
        <f>E45*(C14-C15)</f>
        <v>0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IF(C39=1,C3/2,C44/2)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IF(C40=1,C4/2,C45/2)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ht="14.25" customHeight="1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K65">
        <v>14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K66">
        <v>14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K67">
        <v>14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K68">
        <v>14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K69">
        <v>14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K70">
        <v>14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K71">
        <v>14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K72">
        <v>14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K73">
        <v>14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K74">
        <v>14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K75">
        <v>14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K76">
        <v>14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K77">
        <v>14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s="16" t="s">
        <v>1055</v>
      </c>
      <c r="J81" s="17">
        <v>3145</v>
      </c>
      <c r="K81" s="17">
        <v>23</v>
      </c>
    </row>
    <row r="82" spans="9:22" x14ac:dyDescent="0.25">
      <c r="I82" s="16" t="s">
        <v>1056</v>
      </c>
      <c r="J82" s="17">
        <v>3784</v>
      </c>
      <c r="K82" s="17">
        <v>28</v>
      </c>
    </row>
    <row r="83" spans="9:22" x14ac:dyDescent="0.25">
      <c r="I83" s="16" t="s">
        <v>1057</v>
      </c>
      <c r="J83" s="17">
        <v>4237</v>
      </c>
      <c r="K83" s="17">
        <v>32</v>
      </c>
    </row>
    <row r="84" spans="9:22" x14ac:dyDescent="0.25">
      <c r="I84" s="16" t="s">
        <v>1058</v>
      </c>
      <c r="J84" s="17">
        <v>4672</v>
      </c>
      <c r="K84" s="17">
        <v>36</v>
      </c>
    </row>
    <row r="85" spans="9:22" x14ac:dyDescent="0.25">
      <c r="I85" s="16" t="s">
        <v>1059</v>
      </c>
      <c r="J85" s="17">
        <v>6163</v>
      </c>
      <c r="K85" s="17">
        <v>43</v>
      </c>
    </row>
    <row r="86" spans="9:22" x14ac:dyDescent="0.25">
      <c r="I86" s="16" t="s">
        <v>1060</v>
      </c>
      <c r="J86" s="17">
        <v>6946</v>
      </c>
      <c r="K86" s="17">
        <v>50</v>
      </c>
    </row>
    <row r="87" spans="9:22" x14ac:dyDescent="0.25">
      <c r="I87" s="16" t="s">
        <v>1061</v>
      </c>
      <c r="J87" s="17">
        <v>8025</v>
      </c>
      <c r="K87" s="17">
        <v>60</v>
      </c>
      <c r="N87" t="s">
        <v>11</v>
      </c>
      <c r="O87" t="s">
        <v>12</v>
      </c>
      <c r="P87" t="s">
        <v>15</v>
      </c>
      <c r="R87" t="s">
        <v>143</v>
      </c>
      <c r="S87" t="s">
        <v>135</v>
      </c>
      <c r="T87" t="s">
        <v>136</v>
      </c>
      <c r="V87" t="s">
        <v>138</v>
      </c>
    </row>
    <row r="88" spans="9:22" x14ac:dyDescent="0.25">
      <c r="I88" s="16" t="s">
        <v>1062</v>
      </c>
      <c r="J88" s="17">
        <v>8866</v>
      </c>
      <c r="K88" s="17">
        <v>68</v>
      </c>
      <c r="N88">
        <v>80</v>
      </c>
      <c r="O88">
        <v>50</v>
      </c>
      <c r="P88">
        <v>20</v>
      </c>
      <c r="R88">
        <v>24</v>
      </c>
      <c r="S88">
        <v>1.26</v>
      </c>
      <c r="T88">
        <v>1.28</v>
      </c>
      <c r="V88">
        <v>0</v>
      </c>
    </row>
    <row r="89" spans="9:22" x14ac:dyDescent="0.25">
      <c r="I89" s="16" t="s">
        <v>1063</v>
      </c>
      <c r="J89" s="17">
        <v>2258</v>
      </c>
      <c r="K89" s="17">
        <v>18</v>
      </c>
      <c r="N89">
        <v>70</v>
      </c>
      <c r="O89">
        <v>30</v>
      </c>
      <c r="R89">
        <v>22</v>
      </c>
      <c r="S89" s="11">
        <v>1.24</v>
      </c>
      <c r="T89">
        <v>1.28</v>
      </c>
      <c r="V89">
        <v>90</v>
      </c>
    </row>
    <row r="90" spans="9:22" x14ac:dyDescent="0.25">
      <c r="I90" s="16" t="s">
        <v>1064</v>
      </c>
      <c r="J90" s="17">
        <v>3089</v>
      </c>
      <c r="K90" s="17">
        <v>26</v>
      </c>
      <c r="N90">
        <v>50</v>
      </c>
      <c r="O90">
        <v>10</v>
      </c>
      <c r="R90">
        <v>14</v>
      </c>
    </row>
    <row r="91" spans="9:22" x14ac:dyDescent="0.25">
      <c r="I91" s="16" t="s">
        <v>1065</v>
      </c>
      <c r="J91" s="17">
        <v>4124</v>
      </c>
      <c r="K91" s="17">
        <v>32</v>
      </c>
      <c r="N91">
        <v>30</v>
      </c>
    </row>
    <row r="92" spans="9:22" x14ac:dyDescent="0.25">
      <c r="I92" s="16" t="s">
        <v>1066</v>
      </c>
      <c r="J92" s="17">
        <v>4531</v>
      </c>
      <c r="K92" s="17">
        <v>36</v>
      </c>
      <c r="N92">
        <v>10</v>
      </c>
    </row>
    <row r="93" spans="9:22" x14ac:dyDescent="0.25">
      <c r="I93" s="16" t="s">
        <v>1067</v>
      </c>
      <c r="J93" s="17">
        <v>6105</v>
      </c>
      <c r="K93" s="17">
        <v>46</v>
      </c>
    </row>
    <row r="94" spans="9:22" x14ac:dyDescent="0.25">
      <c r="I94" s="16" t="s">
        <v>1068</v>
      </c>
      <c r="J94" s="17">
        <v>3198</v>
      </c>
      <c r="K94" s="17">
        <v>23</v>
      </c>
    </row>
    <row r="95" spans="9:22" x14ac:dyDescent="0.25">
      <c r="I95" s="16" t="s">
        <v>1074</v>
      </c>
      <c r="J95" s="17">
        <v>3848</v>
      </c>
      <c r="K95" s="17">
        <v>28</v>
      </c>
    </row>
    <row r="96" spans="9:22" x14ac:dyDescent="0.25">
      <c r="I96" s="16" t="s">
        <v>1075</v>
      </c>
      <c r="J96" s="17">
        <v>4308</v>
      </c>
      <c r="K96" s="17">
        <v>32</v>
      </c>
    </row>
    <row r="97" spans="9:11" x14ac:dyDescent="0.25">
      <c r="I97" s="16" t="s">
        <v>1076</v>
      </c>
      <c r="J97" s="17">
        <v>4751</v>
      </c>
      <c r="K97" s="17">
        <v>36</v>
      </c>
    </row>
    <row r="98" spans="9:11" x14ac:dyDescent="0.25">
      <c r="I98" s="16" t="s">
        <v>1077</v>
      </c>
      <c r="J98" s="17">
        <v>6266</v>
      </c>
      <c r="K98" s="17">
        <v>43</v>
      </c>
    </row>
    <row r="99" spans="9:11" x14ac:dyDescent="0.25">
      <c r="I99" s="16" t="s">
        <v>1078</v>
      </c>
      <c r="J99" s="17">
        <v>7062</v>
      </c>
      <c r="K99" s="17">
        <v>50</v>
      </c>
    </row>
    <row r="100" spans="9:11" x14ac:dyDescent="0.25">
      <c r="I100" s="16" t="s">
        <v>1079</v>
      </c>
      <c r="J100" s="17">
        <v>8160</v>
      </c>
      <c r="K100" s="17">
        <v>60</v>
      </c>
    </row>
    <row r="101" spans="9:11" x14ac:dyDescent="0.25">
      <c r="I101" s="16" t="s">
        <v>1080</v>
      </c>
      <c r="J101" s="17">
        <v>9015</v>
      </c>
      <c r="K101" s="17">
        <v>68</v>
      </c>
    </row>
    <row r="102" spans="9:11" x14ac:dyDescent="0.25">
      <c r="I102" s="16" t="s">
        <v>1081</v>
      </c>
      <c r="J102" s="17">
        <v>2296</v>
      </c>
      <c r="K102" s="17">
        <v>18</v>
      </c>
    </row>
    <row r="103" spans="9:11" x14ac:dyDescent="0.25">
      <c r="I103" s="16" t="s">
        <v>1082</v>
      </c>
      <c r="J103" s="17">
        <v>3141</v>
      </c>
      <c r="K103" s="17">
        <v>26</v>
      </c>
    </row>
    <row r="104" spans="9:11" x14ac:dyDescent="0.25">
      <c r="I104" s="16" t="s">
        <v>1083</v>
      </c>
      <c r="J104" s="17">
        <v>4194</v>
      </c>
      <c r="K104" s="17">
        <v>32</v>
      </c>
    </row>
    <row r="105" spans="9:11" x14ac:dyDescent="0.25">
      <c r="I105" s="16" t="s">
        <v>1084</v>
      </c>
      <c r="J105" s="17">
        <v>4607</v>
      </c>
      <c r="K105" s="17">
        <v>36</v>
      </c>
    </row>
    <row r="106" spans="9:11" x14ac:dyDescent="0.25">
      <c r="I106" s="16" t="s">
        <v>1069</v>
      </c>
      <c r="J106" s="17">
        <v>6208</v>
      </c>
      <c r="K106" s="17">
        <v>46</v>
      </c>
    </row>
    <row r="107" spans="9:11" x14ac:dyDescent="0.25">
      <c r="I107" s="16" t="s">
        <v>1070</v>
      </c>
      <c r="J107" s="17">
        <v>3304</v>
      </c>
      <c r="K107" s="17">
        <v>23</v>
      </c>
    </row>
    <row r="108" spans="9:11" x14ac:dyDescent="0.25">
      <c r="I108" s="16" t="s">
        <v>1085</v>
      </c>
      <c r="J108" s="17">
        <v>3975</v>
      </c>
      <c r="K108" s="17">
        <v>28</v>
      </c>
    </row>
    <row r="109" spans="9:11" x14ac:dyDescent="0.25">
      <c r="I109" s="16" t="s">
        <v>1086</v>
      </c>
      <c r="J109" s="17">
        <v>4451</v>
      </c>
      <c r="K109" s="17">
        <v>32</v>
      </c>
    </row>
    <row r="110" spans="9:11" x14ac:dyDescent="0.25">
      <c r="I110" s="16" t="s">
        <v>1087</v>
      </c>
      <c r="J110" s="17">
        <v>4908</v>
      </c>
      <c r="K110" s="17">
        <v>36</v>
      </c>
    </row>
    <row r="111" spans="9:11" x14ac:dyDescent="0.25">
      <c r="I111" s="16" t="s">
        <v>1088</v>
      </c>
      <c r="J111" s="17">
        <v>6473</v>
      </c>
      <c r="K111" s="17">
        <v>43</v>
      </c>
    </row>
    <row r="112" spans="9:11" x14ac:dyDescent="0.25">
      <c r="I112" s="16" t="s">
        <v>1089</v>
      </c>
      <c r="J112" s="17">
        <v>7296</v>
      </c>
      <c r="K112" s="17">
        <v>50</v>
      </c>
    </row>
    <row r="113" spans="9:11" x14ac:dyDescent="0.25">
      <c r="I113" s="16" t="s">
        <v>1090</v>
      </c>
      <c r="J113" s="17">
        <v>8430</v>
      </c>
      <c r="K113" s="17">
        <v>60</v>
      </c>
    </row>
    <row r="114" spans="9:11" x14ac:dyDescent="0.25">
      <c r="I114" s="16" t="s">
        <v>1091</v>
      </c>
      <c r="J114" s="17">
        <v>9313</v>
      </c>
      <c r="K114" s="17">
        <v>68</v>
      </c>
    </row>
    <row r="115" spans="9:11" x14ac:dyDescent="0.25">
      <c r="I115" s="16" t="s">
        <v>1092</v>
      </c>
      <c r="J115" s="17">
        <v>2372</v>
      </c>
      <c r="K115" s="17">
        <v>18</v>
      </c>
    </row>
    <row r="116" spans="9:11" x14ac:dyDescent="0.25">
      <c r="I116" s="16" t="s">
        <v>1093</v>
      </c>
      <c r="J116" s="17">
        <v>3244</v>
      </c>
      <c r="K116" s="17">
        <v>26</v>
      </c>
    </row>
    <row r="117" spans="9:11" x14ac:dyDescent="0.25">
      <c r="I117" s="16" t="s">
        <v>1094</v>
      </c>
      <c r="J117" s="17">
        <v>4332</v>
      </c>
      <c r="K117" s="17">
        <v>32</v>
      </c>
    </row>
    <row r="118" spans="9:11" x14ac:dyDescent="0.25">
      <c r="I118" s="16" t="s">
        <v>1095</v>
      </c>
      <c r="J118" s="17">
        <v>4760</v>
      </c>
      <c r="K118" s="17">
        <v>36</v>
      </c>
    </row>
    <row r="119" spans="9:11" x14ac:dyDescent="0.25">
      <c r="I119" s="16" t="s">
        <v>1071</v>
      </c>
      <c r="J119" s="17">
        <v>6413</v>
      </c>
      <c r="K119" s="17">
        <v>46</v>
      </c>
    </row>
    <row r="120" spans="9:11" x14ac:dyDescent="0.25">
      <c r="I120" s="16" t="s">
        <v>1072</v>
      </c>
      <c r="J120" s="17">
        <v>3403</v>
      </c>
      <c r="K120" s="17">
        <v>23</v>
      </c>
    </row>
    <row r="121" spans="9:11" x14ac:dyDescent="0.25">
      <c r="I121" s="16" t="s">
        <v>1096</v>
      </c>
      <c r="J121" s="17">
        <v>4094</v>
      </c>
      <c r="K121" s="17">
        <v>28</v>
      </c>
    </row>
    <row r="122" spans="9:11" x14ac:dyDescent="0.25">
      <c r="I122" s="16" t="s">
        <v>1097</v>
      </c>
      <c r="J122" s="17">
        <v>4584</v>
      </c>
      <c r="K122" s="17">
        <v>32</v>
      </c>
    </row>
    <row r="123" spans="9:11" x14ac:dyDescent="0.25">
      <c r="I123" s="16" t="s">
        <v>1098</v>
      </c>
      <c r="J123" s="17">
        <v>5055</v>
      </c>
      <c r="K123" s="17">
        <v>36</v>
      </c>
    </row>
    <row r="124" spans="9:11" x14ac:dyDescent="0.25">
      <c r="I124" s="16" t="s">
        <v>1099</v>
      </c>
      <c r="J124" s="17">
        <v>6667</v>
      </c>
      <c r="K124" s="17">
        <v>43</v>
      </c>
    </row>
    <row r="125" spans="9:11" x14ac:dyDescent="0.25">
      <c r="I125" s="16" t="s">
        <v>1100</v>
      </c>
      <c r="J125" s="17">
        <v>7515</v>
      </c>
      <c r="K125" s="17">
        <v>50</v>
      </c>
    </row>
    <row r="126" spans="9:11" x14ac:dyDescent="0.25">
      <c r="I126" s="16" t="s">
        <v>1101</v>
      </c>
      <c r="J126" s="17">
        <v>8683</v>
      </c>
      <c r="K126" s="17">
        <v>60</v>
      </c>
    </row>
    <row r="127" spans="9:11" x14ac:dyDescent="0.25">
      <c r="I127" s="16" t="s">
        <v>1102</v>
      </c>
      <c r="J127" s="17">
        <v>9593</v>
      </c>
      <c r="K127" s="17">
        <v>68</v>
      </c>
    </row>
    <row r="128" spans="9:11" x14ac:dyDescent="0.25">
      <c r="I128" s="16" t="s">
        <v>1103</v>
      </c>
      <c r="J128" s="17">
        <v>2443</v>
      </c>
      <c r="K128" s="17">
        <v>18</v>
      </c>
    </row>
    <row r="129" spans="9:11" x14ac:dyDescent="0.25">
      <c r="I129" s="16" t="s">
        <v>1104</v>
      </c>
      <c r="J129" s="17">
        <v>3342</v>
      </c>
      <c r="K129" s="17">
        <v>26</v>
      </c>
    </row>
    <row r="130" spans="9:11" x14ac:dyDescent="0.25">
      <c r="I130" s="16" t="s">
        <v>1105</v>
      </c>
      <c r="J130" s="17">
        <v>4462</v>
      </c>
      <c r="K130" s="17">
        <v>32</v>
      </c>
    </row>
    <row r="131" spans="9:11" x14ac:dyDescent="0.25">
      <c r="I131" s="16" t="s">
        <v>1106</v>
      </c>
      <c r="J131" s="17">
        <v>4903</v>
      </c>
      <c r="K131" s="17">
        <v>36</v>
      </c>
    </row>
    <row r="132" spans="9:11" x14ac:dyDescent="0.25">
      <c r="I132" s="16" t="s">
        <v>1073</v>
      </c>
      <c r="J132" s="17">
        <v>6605</v>
      </c>
      <c r="K132" s="17">
        <v>46</v>
      </c>
    </row>
  </sheetData>
  <sheetProtection algorithmName="SHA-512" hashValue="fQN8HdLpAYLEijQLBCgQ0Aw+N3D1ny6i5FS+Jiw7q32hKV+ExYiYsZ+9dQQUSG20dSvgp+hNe1fU68BfkZzX6g==" saltValue="F9/DZpxlR24AQljj+u7+Ng==" spinCount="100000" sheet="1" selectLockedCells="1"/>
  <mergeCells count="4">
    <mergeCell ref="BI5:BK5"/>
    <mergeCell ref="BI6:BK6"/>
    <mergeCell ref="BI7:BK7"/>
    <mergeCell ref="A52:D55"/>
  </mergeCells>
  <conditionalFormatting sqref="C44">
    <cfRule type="cellIs" dxfId="140" priority="2" operator="greaterThan">
      <formula>$F$44</formula>
    </cfRule>
  </conditionalFormatting>
  <conditionalFormatting sqref="C45">
    <cfRule type="cellIs" dxfId="139" priority="1" operator="greaterThan">
      <formula>$F$45</formula>
    </cfRule>
  </conditionalFormatting>
  <dataValidations count="4">
    <dataValidation type="list" allowBlank="1" showInputMessage="1" showErrorMessage="1" sqref="C17" xr:uid="{E2879356-94D2-4C97-A235-6A391F06A388}">
      <formula1>$N$88:$N$92</formula1>
    </dataValidation>
    <dataValidation type="list" allowBlank="1" showInputMessage="1" showErrorMessage="1" sqref="C18" xr:uid="{11752AFD-6CF0-4B7B-B83F-835B89A6C202}">
      <formula1>$O$88:$O$90</formula1>
    </dataValidation>
    <dataValidation type="list" allowBlank="1" showInputMessage="1" showErrorMessage="1" sqref="C43" xr:uid="{D887FBBB-3B2B-4004-A0E6-015B2F686D98}">
      <formula1>$V$88:$V$89</formula1>
    </dataValidation>
    <dataValidation type="list" allowBlank="1" showInputMessage="1" showErrorMessage="1" sqref="C21" xr:uid="{FCD05329-51D9-4BE4-8BF1-3F7FE349E04D}">
      <formula1>$I$81:$I$132</formula1>
    </dataValidation>
  </dataValidations>
  <pageMargins left="0.45" right="0.45" top="0.5" bottom="0.5" header="0.3" footer="0.3"/>
  <pageSetup scale="89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9DE73-E813-4D16-BABD-C1FF71516DFF}">
  <sheetPr>
    <pageSetUpPr fitToPage="1"/>
  </sheetPr>
  <dimension ref="A5:BK112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3.140625" bestFit="1" customWidth="1"/>
    <col min="3" max="3" width="25.85546875" customWidth="1"/>
    <col min="4" max="4" width="5.85546875" bestFit="1" customWidth="1"/>
    <col min="5" max="8" width="9.140625" hidden="1" customWidth="1"/>
    <col min="9" max="9" width="12.57031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41" width="9.140625" hidden="1" customWidth="1"/>
    <col min="42" max="58" width="9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1350</v>
      </c>
      <c r="BH7" s="5" t="s">
        <v>1345</v>
      </c>
      <c r="BI7" s="37"/>
      <c r="BJ7" s="37"/>
      <c r="BK7" s="37"/>
    </row>
    <row r="8" spans="1:63" x14ac:dyDescent="0.25">
      <c r="A8" s="10" t="s">
        <v>1351</v>
      </c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96</v>
      </c>
      <c r="M14">
        <v>102</v>
      </c>
      <c r="N14">
        <v>98</v>
      </c>
      <c r="O14">
        <v>95</v>
      </c>
      <c r="P14">
        <v>98</v>
      </c>
      <c r="Q14">
        <v>95</v>
      </c>
      <c r="R14">
        <v>92</v>
      </c>
      <c r="S14">
        <v>94</v>
      </c>
      <c r="T14">
        <v>91</v>
      </c>
      <c r="U14">
        <v>89</v>
      </c>
      <c r="V14">
        <v>90</v>
      </c>
      <c r="W14">
        <v>88</v>
      </c>
      <c r="X14">
        <v>86</v>
      </c>
      <c r="Z14">
        <v>1</v>
      </c>
      <c r="AA14">
        <v>104</v>
      </c>
      <c r="AB14">
        <v>100</v>
      </c>
      <c r="AC14">
        <v>96</v>
      </c>
      <c r="AD14">
        <v>102</v>
      </c>
      <c r="AE14">
        <v>98</v>
      </c>
      <c r="AF14">
        <v>95</v>
      </c>
      <c r="AG14">
        <v>98</v>
      </c>
      <c r="AH14">
        <v>95</v>
      </c>
      <c r="AI14">
        <v>92</v>
      </c>
      <c r="AJ14">
        <v>94</v>
      </c>
      <c r="AK14">
        <v>91</v>
      </c>
      <c r="AL14">
        <v>89</v>
      </c>
      <c r="AM14">
        <v>90</v>
      </c>
      <c r="AN14">
        <v>88</v>
      </c>
      <c r="AO14">
        <v>86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91</v>
      </c>
      <c r="K15">
        <v>84</v>
      </c>
      <c r="L15">
        <v>79</v>
      </c>
      <c r="M15">
        <v>89</v>
      </c>
      <c r="N15">
        <v>83</v>
      </c>
      <c r="O15">
        <v>78</v>
      </c>
      <c r="P15">
        <v>86</v>
      </c>
      <c r="Q15">
        <v>80</v>
      </c>
      <c r="R15">
        <v>76</v>
      </c>
      <c r="S15">
        <v>82</v>
      </c>
      <c r="T15">
        <v>78</v>
      </c>
      <c r="U15">
        <v>74</v>
      </c>
      <c r="V15">
        <v>79</v>
      </c>
      <c r="W15">
        <v>76</v>
      </c>
      <c r="X15">
        <v>72</v>
      </c>
      <c r="Z15">
        <v>2</v>
      </c>
      <c r="AA15">
        <v>91</v>
      </c>
      <c r="AB15">
        <v>84</v>
      </c>
      <c r="AC15">
        <v>79</v>
      </c>
      <c r="AD15">
        <v>89</v>
      </c>
      <c r="AE15">
        <v>83</v>
      </c>
      <c r="AF15">
        <v>78</v>
      </c>
      <c r="AG15">
        <v>86</v>
      </c>
      <c r="AH15">
        <v>81</v>
      </c>
      <c r="AI15">
        <v>76</v>
      </c>
      <c r="AJ15">
        <v>82</v>
      </c>
      <c r="AK15">
        <v>78</v>
      </c>
      <c r="AL15">
        <v>74</v>
      </c>
      <c r="AM15">
        <v>79</v>
      </c>
      <c r="AN15">
        <v>76</v>
      </c>
      <c r="AO15">
        <v>73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65</v>
      </c>
      <c r="M16">
        <v>78</v>
      </c>
      <c r="N16">
        <v>71</v>
      </c>
      <c r="O16">
        <v>65</v>
      </c>
      <c r="P16">
        <v>75</v>
      </c>
      <c r="Q16">
        <v>69</v>
      </c>
      <c r="R16">
        <v>64</v>
      </c>
      <c r="S16">
        <v>73</v>
      </c>
      <c r="T16">
        <v>67</v>
      </c>
      <c r="U16">
        <v>63</v>
      </c>
      <c r="V16">
        <v>70</v>
      </c>
      <c r="W16">
        <v>65</v>
      </c>
      <c r="X16">
        <v>61</v>
      </c>
      <c r="Z16">
        <v>3</v>
      </c>
      <c r="AA16">
        <v>80</v>
      </c>
      <c r="AB16">
        <v>72</v>
      </c>
      <c r="AC16">
        <v>66</v>
      </c>
      <c r="AD16">
        <v>79</v>
      </c>
      <c r="AE16">
        <v>71</v>
      </c>
      <c r="AF16">
        <v>65</v>
      </c>
      <c r="AG16">
        <v>76</v>
      </c>
      <c r="AH16">
        <v>69</v>
      </c>
      <c r="AI16">
        <v>64</v>
      </c>
      <c r="AJ16">
        <v>73</v>
      </c>
      <c r="AK16">
        <v>67</v>
      </c>
      <c r="AL16">
        <v>63</v>
      </c>
      <c r="AM16">
        <v>70</v>
      </c>
      <c r="AN16">
        <v>66</v>
      </c>
      <c r="AO16">
        <v>62</v>
      </c>
      <c r="AQ16">
        <v>3</v>
      </c>
    </row>
    <row r="17" spans="1:63" x14ac:dyDescent="0.25">
      <c r="B17" t="s">
        <v>5</v>
      </c>
      <c r="C17" s="22">
        <v>80</v>
      </c>
      <c r="I17">
        <v>4</v>
      </c>
      <c r="J17">
        <v>71</v>
      </c>
      <c r="K17">
        <v>62</v>
      </c>
      <c r="L17">
        <v>55</v>
      </c>
      <c r="M17">
        <v>70</v>
      </c>
      <c r="N17">
        <v>61</v>
      </c>
      <c r="O17">
        <v>55</v>
      </c>
      <c r="P17">
        <v>67</v>
      </c>
      <c r="Q17">
        <v>60</v>
      </c>
      <c r="R17">
        <v>54</v>
      </c>
      <c r="S17">
        <v>65</v>
      </c>
      <c r="T17">
        <v>59</v>
      </c>
      <c r="U17">
        <v>54</v>
      </c>
      <c r="V17">
        <v>63</v>
      </c>
      <c r="W17">
        <v>57</v>
      </c>
      <c r="X17">
        <v>53</v>
      </c>
      <c r="Z17">
        <v>4</v>
      </c>
      <c r="AA17">
        <v>71</v>
      </c>
      <c r="AB17">
        <v>62</v>
      </c>
      <c r="AC17">
        <v>56</v>
      </c>
      <c r="AD17">
        <v>70</v>
      </c>
      <c r="AE17">
        <v>62</v>
      </c>
      <c r="AF17">
        <v>55</v>
      </c>
      <c r="AG17">
        <v>67</v>
      </c>
      <c r="AH17">
        <v>60</v>
      </c>
      <c r="AI17">
        <v>55</v>
      </c>
      <c r="AJ17">
        <v>65</v>
      </c>
      <c r="AK17">
        <v>59</v>
      </c>
      <c r="AL17">
        <v>54</v>
      </c>
      <c r="AM17">
        <v>63</v>
      </c>
      <c r="AN17">
        <v>57</v>
      </c>
      <c r="AO17">
        <v>53</v>
      </c>
      <c r="AQ17">
        <v>4</v>
      </c>
    </row>
    <row r="18" spans="1:63" x14ac:dyDescent="0.25">
      <c r="B18" t="s">
        <v>6</v>
      </c>
      <c r="C18" s="22">
        <v>50</v>
      </c>
      <c r="I18">
        <v>5</v>
      </c>
      <c r="J18">
        <v>63</v>
      </c>
      <c r="K18">
        <v>54</v>
      </c>
      <c r="L18">
        <v>48</v>
      </c>
      <c r="M18">
        <v>62</v>
      </c>
      <c r="N18">
        <v>54</v>
      </c>
      <c r="O18">
        <v>47</v>
      </c>
      <c r="P18">
        <v>60</v>
      </c>
      <c r="Q18">
        <v>53</v>
      </c>
      <c r="R18">
        <v>47</v>
      </c>
      <c r="S18">
        <v>58</v>
      </c>
      <c r="T18">
        <v>52</v>
      </c>
      <c r="U18">
        <v>46</v>
      </c>
      <c r="V18">
        <v>56</v>
      </c>
      <c r="W18">
        <v>51</v>
      </c>
      <c r="X18">
        <v>46</v>
      </c>
      <c r="Z18">
        <v>5</v>
      </c>
      <c r="AA18">
        <v>64</v>
      </c>
      <c r="AB18">
        <v>55</v>
      </c>
      <c r="AC18">
        <v>48</v>
      </c>
      <c r="AD18">
        <v>62</v>
      </c>
      <c r="AE18">
        <v>54</v>
      </c>
      <c r="AF18">
        <v>48</v>
      </c>
      <c r="AG18">
        <v>60</v>
      </c>
      <c r="AH18">
        <v>53</v>
      </c>
      <c r="AI18">
        <v>47</v>
      </c>
      <c r="AJ18">
        <v>58</v>
      </c>
      <c r="AK18">
        <v>52</v>
      </c>
      <c r="AL18">
        <v>47</v>
      </c>
      <c r="AM18">
        <v>56</v>
      </c>
      <c r="AN18">
        <v>51</v>
      </c>
      <c r="AO18">
        <v>46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57</v>
      </c>
      <c r="K19">
        <v>48</v>
      </c>
      <c r="L19">
        <v>42</v>
      </c>
      <c r="M19">
        <v>56</v>
      </c>
      <c r="N19">
        <v>48</v>
      </c>
      <c r="O19">
        <v>41</v>
      </c>
      <c r="P19">
        <v>54</v>
      </c>
      <c r="Q19">
        <v>47</v>
      </c>
      <c r="R19">
        <v>41</v>
      </c>
      <c r="S19">
        <v>53</v>
      </c>
      <c r="T19">
        <v>46</v>
      </c>
      <c r="U19">
        <v>41</v>
      </c>
      <c r="V19">
        <v>51</v>
      </c>
      <c r="W19">
        <v>45</v>
      </c>
      <c r="X19">
        <v>40</v>
      </c>
      <c r="Z19">
        <v>6</v>
      </c>
      <c r="AA19">
        <v>57</v>
      </c>
      <c r="AB19">
        <v>48</v>
      </c>
      <c r="AC19">
        <v>42</v>
      </c>
      <c r="AD19">
        <v>56</v>
      </c>
      <c r="AE19">
        <v>48</v>
      </c>
      <c r="AF19">
        <v>42</v>
      </c>
      <c r="AG19">
        <v>54</v>
      </c>
      <c r="AH19">
        <v>47</v>
      </c>
      <c r="AI19">
        <v>41</v>
      </c>
      <c r="AJ19">
        <v>53</v>
      </c>
      <c r="AK19">
        <v>46</v>
      </c>
      <c r="AL19">
        <v>41</v>
      </c>
      <c r="AM19">
        <v>51</v>
      </c>
      <c r="AN19">
        <v>45</v>
      </c>
      <c r="AO19">
        <v>41</v>
      </c>
      <c r="AQ19">
        <v>6</v>
      </c>
    </row>
    <row r="20" spans="1:63" x14ac:dyDescent="0.25">
      <c r="I20">
        <v>7</v>
      </c>
      <c r="J20">
        <v>52</v>
      </c>
      <c r="K20">
        <v>43</v>
      </c>
      <c r="L20">
        <v>37</v>
      </c>
      <c r="M20">
        <v>51</v>
      </c>
      <c r="N20">
        <v>43</v>
      </c>
      <c r="O20">
        <v>37</v>
      </c>
      <c r="P20">
        <v>49</v>
      </c>
      <c r="Q20">
        <v>42</v>
      </c>
      <c r="R20">
        <v>36</v>
      </c>
      <c r="S20">
        <v>48</v>
      </c>
      <c r="T20">
        <v>41</v>
      </c>
      <c r="U20">
        <v>36</v>
      </c>
      <c r="V20">
        <v>47</v>
      </c>
      <c r="W20">
        <v>40</v>
      </c>
      <c r="X20">
        <v>36</v>
      </c>
      <c r="Z20">
        <v>7</v>
      </c>
      <c r="AA20">
        <v>52</v>
      </c>
      <c r="AB20">
        <v>43</v>
      </c>
      <c r="AC20">
        <v>37</v>
      </c>
      <c r="AD20">
        <v>51</v>
      </c>
      <c r="AE20">
        <v>43</v>
      </c>
      <c r="AF20">
        <v>37</v>
      </c>
      <c r="AG20">
        <v>50</v>
      </c>
      <c r="AH20">
        <v>42</v>
      </c>
      <c r="AI20">
        <v>37</v>
      </c>
      <c r="AJ20">
        <v>48</v>
      </c>
      <c r="AK20">
        <v>41</v>
      </c>
      <c r="AL20">
        <v>36</v>
      </c>
      <c r="AM20">
        <v>47</v>
      </c>
      <c r="AN20">
        <v>41</v>
      </c>
      <c r="AO20">
        <v>36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47</v>
      </c>
      <c r="K21">
        <v>39</v>
      </c>
      <c r="L21">
        <v>33</v>
      </c>
      <c r="M21">
        <v>46</v>
      </c>
      <c r="N21">
        <v>38</v>
      </c>
      <c r="O21">
        <v>33</v>
      </c>
      <c r="P21">
        <v>45</v>
      </c>
      <c r="Q21">
        <v>38</v>
      </c>
      <c r="R21">
        <v>33</v>
      </c>
      <c r="S21">
        <v>44</v>
      </c>
      <c r="T21">
        <v>37</v>
      </c>
      <c r="U21">
        <v>32</v>
      </c>
      <c r="V21">
        <v>43</v>
      </c>
      <c r="W21">
        <v>37</v>
      </c>
      <c r="X21">
        <v>32</v>
      </c>
      <c r="Z21">
        <v>8</v>
      </c>
      <c r="AA21">
        <v>47</v>
      </c>
      <c r="AB21">
        <v>39</v>
      </c>
      <c r="AC21">
        <v>33</v>
      </c>
      <c r="AD21">
        <v>47</v>
      </c>
      <c r="AE21">
        <v>39</v>
      </c>
      <c r="AF21">
        <v>33</v>
      </c>
      <c r="AG21">
        <v>45</v>
      </c>
      <c r="AH21">
        <v>38</v>
      </c>
      <c r="AI21">
        <v>33</v>
      </c>
      <c r="AJ21">
        <v>44</v>
      </c>
      <c r="AK21">
        <v>37</v>
      </c>
      <c r="AL21">
        <v>33</v>
      </c>
      <c r="AM21">
        <v>43</v>
      </c>
      <c r="AN21">
        <v>37</v>
      </c>
      <c r="AO21">
        <v>32</v>
      </c>
      <c r="AQ21">
        <v>8</v>
      </c>
    </row>
    <row r="22" spans="1:63" x14ac:dyDescent="0.25">
      <c r="B22" t="s">
        <v>30</v>
      </c>
      <c r="C22" s="4" t="e">
        <f>VLOOKUP(C21,Model5136146[],2,0)</f>
        <v>#N/A</v>
      </c>
      <c r="D22" t="s">
        <v>131</v>
      </c>
      <c r="I22">
        <v>9</v>
      </c>
      <c r="J22">
        <v>43</v>
      </c>
      <c r="K22">
        <v>35</v>
      </c>
      <c r="L22">
        <v>30</v>
      </c>
      <c r="M22">
        <v>43</v>
      </c>
      <c r="N22">
        <v>35</v>
      </c>
      <c r="O22">
        <v>29</v>
      </c>
      <c r="P22">
        <v>42</v>
      </c>
      <c r="Q22">
        <v>34</v>
      </c>
      <c r="R22">
        <v>29</v>
      </c>
      <c r="S22">
        <v>40</v>
      </c>
      <c r="T22">
        <v>34</v>
      </c>
      <c r="U22">
        <v>29</v>
      </c>
      <c r="V22">
        <v>39</v>
      </c>
      <c r="W22">
        <v>33</v>
      </c>
      <c r="X22">
        <v>29</v>
      </c>
      <c r="Z22">
        <v>9</v>
      </c>
      <c r="AA22">
        <v>43</v>
      </c>
      <c r="AB22">
        <v>35</v>
      </c>
      <c r="AC22">
        <v>30</v>
      </c>
      <c r="AD22">
        <v>43</v>
      </c>
      <c r="AE22">
        <v>35</v>
      </c>
      <c r="AF22">
        <v>30</v>
      </c>
      <c r="AG22">
        <v>42</v>
      </c>
      <c r="AH22">
        <v>35</v>
      </c>
      <c r="AI22">
        <v>30</v>
      </c>
      <c r="AJ22">
        <v>41</v>
      </c>
      <c r="AK22">
        <v>34</v>
      </c>
      <c r="AL22">
        <v>29</v>
      </c>
      <c r="AM22">
        <v>40</v>
      </c>
      <c r="AN22">
        <v>34</v>
      </c>
      <c r="AO22">
        <v>29</v>
      </c>
      <c r="AQ22">
        <v>9</v>
      </c>
    </row>
    <row r="23" spans="1:63" x14ac:dyDescent="0.25">
      <c r="B23" t="s">
        <v>31</v>
      </c>
      <c r="C23" t="e">
        <f>VLOOKUP(C21,Model5136146[],3,FALSE)</f>
        <v>#N/A</v>
      </c>
      <c r="D23" t="s">
        <v>132</v>
      </c>
      <c r="I23">
        <v>10</v>
      </c>
      <c r="J23">
        <v>40</v>
      </c>
      <c r="K23">
        <v>32</v>
      </c>
      <c r="L23">
        <v>27</v>
      </c>
      <c r="M23">
        <v>39</v>
      </c>
      <c r="N23">
        <v>32</v>
      </c>
      <c r="O23">
        <v>27</v>
      </c>
      <c r="P23">
        <v>38</v>
      </c>
      <c r="Q23">
        <v>31</v>
      </c>
      <c r="R23">
        <v>27</v>
      </c>
      <c r="S23">
        <v>37</v>
      </c>
      <c r="T23">
        <v>31</v>
      </c>
      <c r="U23">
        <v>26</v>
      </c>
      <c r="V23">
        <v>37</v>
      </c>
      <c r="W23">
        <v>31</v>
      </c>
      <c r="X23">
        <v>26</v>
      </c>
      <c r="Z23">
        <v>10</v>
      </c>
      <c r="AA23">
        <v>40</v>
      </c>
      <c r="AB23">
        <v>32</v>
      </c>
      <c r="AC23">
        <v>27</v>
      </c>
      <c r="AD23">
        <v>40</v>
      </c>
      <c r="AE23">
        <v>32</v>
      </c>
      <c r="AF23">
        <v>27</v>
      </c>
      <c r="AG23">
        <v>39</v>
      </c>
      <c r="AH23">
        <v>32</v>
      </c>
      <c r="AI23">
        <v>27</v>
      </c>
      <c r="AJ23">
        <v>38</v>
      </c>
      <c r="AK23">
        <v>31</v>
      </c>
      <c r="AL23">
        <v>27</v>
      </c>
      <c r="AM23">
        <v>37</v>
      </c>
      <c r="AN23">
        <v>31</v>
      </c>
      <c r="AO23">
        <v>27</v>
      </c>
      <c r="AQ23">
        <v>10</v>
      </c>
    </row>
    <row r="24" spans="1:63" x14ac:dyDescent="0.25">
      <c r="B24" t="s">
        <v>3</v>
      </c>
      <c r="C24" s="11" t="e">
        <f t="array" ref="C24">INDEX(CUtable4135145[],MATCH(1,(CUtable4135145[RC]=C17)*(CUtable4135145[RW]=C18)*(CUtable4135145[Size]=E21),0),4)</f>
        <v>#VALUE!</v>
      </c>
      <c r="H24" s="5"/>
    </row>
    <row r="25" spans="1:63" x14ac:dyDescent="0.25">
      <c r="B25" t="s">
        <v>133</v>
      </c>
      <c r="C25" s="11">
        <f>VLOOKUP(E21,Table81217140150[],2,FALSE)</f>
        <v>0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VLOOKUP(E21,Table81217140150[],3,FALSE)</f>
        <v>0</v>
      </c>
      <c r="H26" s="5"/>
      <c r="I26" t="s">
        <v>218</v>
      </c>
      <c r="J26">
        <f>INDEX(LINEST(Table2x4134144[CU],Table2x4134144[RCR]^{1,2,3}),1)</f>
        <v>-3.8073038073038301E-2</v>
      </c>
      <c r="K26">
        <f>INDEX(LINEST(Table2x4134144[CU1],Table2x4134144[RCR]^{1,2,3}),1)</f>
        <v>-7.1289821289821434E-2</v>
      </c>
      <c r="L26">
        <f>INDEX(LINEST(Table2x4134144[CU2],Table2x4134144[RCR]^{1,2,3}),1)</f>
        <v>-0.10217560217560231</v>
      </c>
      <c r="M26">
        <f>INDEX(LINEST(Table2x4134144[CU3],Table2x4134144[RCR]^{1,2,3}),1)</f>
        <v>-3.7490287490287474E-2</v>
      </c>
      <c r="N26">
        <f>INDEX(LINEST(Table2x4134144[CU4],Table2x4134144[RCR]^{1,2,3}),1)</f>
        <v>-6.3325563325563619E-2</v>
      </c>
      <c r="O26">
        <f>INDEX(LINEST(Table2x4134144[CU5],Table2x4134144[RCR]^{1,2,3}),1)</f>
        <v>-8.6247086247086574E-2</v>
      </c>
      <c r="P26">
        <f>INDEX(LINEST(Table2x4134144[CU6],Table2x4134144[RCR]^{1,2,3}),1)</f>
        <v>-3.3411033411033603E-2</v>
      </c>
      <c r="Q26">
        <f>INDEX(LINEST(Table2x4134144[CU7],Table2x4134144[RCR]^{1,2,3}),1)</f>
        <v>-5.9634809634809889E-2</v>
      </c>
      <c r="R26">
        <f>INDEX(LINEST(Table2x4134144[CU8],Table2x4134144[RCR]^{1,2,3}),1)</f>
        <v>-7.1872571872572483E-2</v>
      </c>
      <c r="S26">
        <f>INDEX(LINEST(Table2x4134144[CU9],Table2x4134144[RCR]^{1,2,3}),1)</f>
        <v>-3.2439782439782738E-2</v>
      </c>
      <c r="T26">
        <f>INDEX(LINEST(Table2x4134144[CU10],Table2x4134144[RCR]^{1,2,3}),1)</f>
        <v>-4.390054390054407E-2</v>
      </c>
      <c r="U26">
        <f>INDEX(LINEST(Table2x4134144[CU11],Table2x4134144[RCR]^{1,2,3}),1)</f>
        <v>-6.0800310800311022E-2</v>
      </c>
      <c r="V26">
        <f>INDEX(LINEST(Table2x4134144[CU12],Table2x4134144[RCR]^{1,2,3}),1)</f>
        <v>-3.010878010878016E-2</v>
      </c>
      <c r="W26">
        <f>INDEX(LINEST(Table2x4134144[CU13],Table2x4134144[RCR]^{1,2,3}),1)</f>
        <v>-3.86557886557891E-2</v>
      </c>
      <c r="X26">
        <f>INDEX(LINEST(Table2x4134144[CU14],Table2x4134144[RCR]^{1,2,3}),1)</f>
        <v>-5.846930846930852E-2</v>
      </c>
      <c r="Z26" t="s">
        <v>218</v>
      </c>
      <c r="AA26">
        <f>INDEX(LINEST(Table2x2141151[CU],Table2x2141151[RCR]^{1,2,3}),1)</f>
        <v>-3.8073038073038447E-2</v>
      </c>
      <c r="AB26">
        <f>INDEX(LINEST(Table2x2141151[CU1],Table2x2141151[RCR]^{1,2,3}),1)</f>
        <v>-7.1289821289821781E-2</v>
      </c>
      <c r="AC26">
        <f>INDEX(LINEST(Table2x2141151[CU2],Table2x2141151[RCR]^{1,2,3}),1)</f>
        <v>-9.4988344988345186E-2</v>
      </c>
      <c r="AD26">
        <f>INDEX(LINEST(Table2x2141151[CU3],Table2x2141151[RCR]^{1,2,3}),1)</f>
        <v>-3.1468531468531957E-2</v>
      </c>
      <c r="AE26">
        <f>INDEX(LINEST(Table2x2141151[CU4],Table2x2141151[RCR]^{1,2,3}),1)</f>
        <v>-6.4879564879565518E-2</v>
      </c>
      <c r="AF26">
        <f>INDEX(LINEST(Table2x2141151[CU5],Table2x2141151[RCR]^{1,2,3}),1)</f>
        <v>-9.0132090132090559E-2</v>
      </c>
      <c r="AG26">
        <f>INDEX(LINEST(Table2x2141151[CU6],Table2x2141151[RCR]^{1,2,3}),1)</f>
        <v>-2.758352758352782E-2</v>
      </c>
      <c r="AH26">
        <f>INDEX(LINEST(Table2x2141151[CU7],Table2x2141151[RCR]^{1,2,3}),1)</f>
        <v>-5.0699300699301016E-2</v>
      </c>
      <c r="AI26">
        <f>INDEX(LINEST(Table2x2141151[CU8],Table2x2141151[RCR]^{1,2,3}),1)</f>
        <v>-7.478632478632502E-2</v>
      </c>
      <c r="AJ26">
        <f>INDEX(LINEST(Table2x2141151[CU9],Table2x2141151[RCR]^{1,2,3}),1)</f>
        <v>-2.7777777777778102E-2</v>
      </c>
      <c r="AK26">
        <f>INDEX(LINEST(Table2x2141151[CU10],Table2x2141151[RCR]^{1,2,3}),1)</f>
        <v>-4.390054390054407E-2</v>
      </c>
      <c r="AL26">
        <f>INDEX(LINEST(Table2x2141151[CU11],Table2x2141151[RCR]^{1,2,3}),1)</f>
        <v>-5.9246309246309727E-2</v>
      </c>
      <c r="AM26">
        <f>INDEX(LINEST(Table2x2141151[CU12],Table2x2141151[RCR]^{1,2,3}),1)</f>
        <v>-3.1274281274281585E-2</v>
      </c>
      <c r="AN26">
        <f>INDEX(LINEST(Table2x2141151[CU13],Table2x2141151[RCR]^{1,2,3}),1)</f>
        <v>-3.9821289821290018E-2</v>
      </c>
      <c r="AO26">
        <f>INDEX(LINEST(Table2x2141151[CU14],Table2x2141151[RCR]^{1,2,3}),1)</f>
        <v>-4.6620046620046665E-2</v>
      </c>
      <c r="AQ26" t="s">
        <v>218</v>
      </c>
      <c r="AR26" t="e">
        <f>INDEX(LINEST(Table1x4143153[CU],Table1x4143153[RCR]^{1,2,3}),1)</f>
        <v>#VALUE!</v>
      </c>
      <c r="AS26" t="e">
        <f>INDEX(LINEST(Table1x4143153[CU1],Table1x4143153[RCR]^{1,2,3}),1)</f>
        <v>#VALUE!</v>
      </c>
      <c r="AT26" t="e">
        <f>INDEX(LINEST(Table1x4143153[CU2],Table1x4143153[RCR]^{1,2,3}),1)</f>
        <v>#VALUE!</v>
      </c>
      <c r="AU26" t="e">
        <f>INDEX(LINEST(Table1x4143153[CU3],Table1x4143153[RCR]^{1,2,3}),1)</f>
        <v>#VALUE!</v>
      </c>
      <c r="AV26" t="e">
        <f>INDEX(LINEST(Table1x4143153[CU4],Table1x4143153[RCR]^{1,2,3}),1)</f>
        <v>#VALUE!</v>
      </c>
      <c r="AW26" t="e">
        <f>INDEX(LINEST(Table1x4143153[CU5],Table1x4143153[RCR]^{1,2,3}),1)</f>
        <v>#VALUE!</v>
      </c>
      <c r="AX26" t="e">
        <f>INDEX(LINEST(Table1x4143153[CU6],Table1x4143153[RCR]^{1,2,3}),1)</f>
        <v>#VALUE!</v>
      </c>
      <c r="AY26" t="e">
        <f>INDEX(LINEST(Table1x4143153[CU7],Table1x4143153[RCR]^{1,2,3}),1)</f>
        <v>#VALUE!</v>
      </c>
      <c r="AZ26" t="e">
        <f>INDEX(LINEST(Table1x4143153[CU8],Table1x4143153[RCR]^{1,2,3}),1)</f>
        <v>#VALUE!</v>
      </c>
      <c r="BA26" t="e">
        <f>INDEX(LINEST(Table1x4143153[CU9],Table1x4143153[RCR]^{1,2,3}),1)</f>
        <v>#VALUE!</v>
      </c>
      <c r="BB26" t="e">
        <f>INDEX(LINEST(Table1x4143153[CU10],Table1x4143153[RCR]^{1,2,3}),1)</f>
        <v>#VALUE!</v>
      </c>
      <c r="BC26" t="e">
        <f>INDEX(LINEST(Table1x4143153[CU11],Table1x4143153[RCR]^{1,2,3}),1)</f>
        <v>#VALUE!</v>
      </c>
      <c r="BD26" t="e">
        <f>INDEX(LINEST(Table1x4143153[CU12],Table1x4143153[RCR]^{1,2,3}),1)</f>
        <v>#VALUE!</v>
      </c>
      <c r="BE26" t="e">
        <f>INDEX(LINEST(Table1x4143153[CU13],Table1x4143153[RCR]^{1,2,3}),1)</f>
        <v>#VALUE!</v>
      </c>
      <c r="BF26" t="e">
        <f>INDEX(LINEST(Table1x4143153[CU14],Table1x4143153[RCR]^{1,2,3}),1)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INDEX(LINEST(Table2x4134144[CU],Table2x4134144[RCR]^{1,2,3}),1,2)</f>
        <v>1.2179487179487198</v>
      </c>
      <c r="K27">
        <f>INDEX(LINEST(Table2x4134144[CU1],Table2x4134144[RCR]^{1,2,3}),1,2)</f>
        <v>1.9224941724941735</v>
      </c>
      <c r="L27">
        <f>INDEX(LINEST(Table2x4134144[CU2],Table2x4134144[RCR]^{1,2,3}),1,2)</f>
        <v>2.5454545454545463</v>
      </c>
      <c r="M27">
        <f>INDEX(LINEST(Table2x4134144[CU3],Table2x4134144[RCR]^{1,2,3}),1,2)</f>
        <v>1.1824009324009315</v>
      </c>
      <c r="N27">
        <f>INDEX(LINEST(Table2x4134144[CU4],Table2x4134144[RCR]^{1,2,3}),1,2)</f>
        <v>1.7564102564102599</v>
      </c>
      <c r="O27">
        <f>INDEX(LINEST(Table2x4134144[CU5],Table2x4134144[RCR]^{1,2,3}),1,2)</f>
        <v>2.2634032634032679</v>
      </c>
      <c r="P27">
        <f>INDEX(LINEST(Table2x4134144[CU6],Table2x4134144[RCR]^{1,2,3}),1,2)</f>
        <v>1.0967365967365996</v>
      </c>
      <c r="Q27">
        <f>INDEX(LINEST(Table2x4134144[CU7],Table2x4134144[RCR]^{1,2,3}),1,2)</f>
        <v>1.6252913752913782</v>
      </c>
      <c r="R27">
        <f>INDEX(LINEST(Table2x4134144[CU8],Table2x4134144[RCR]^{1,2,3}),1,2)</f>
        <v>1.9662004662004751</v>
      </c>
      <c r="S27">
        <f>INDEX(LINEST(Table2x4134144[CU9],Table2x4134144[RCR]^{1,2,3}),1,2)</f>
        <v>1.0168997668997715</v>
      </c>
      <c r="T27">
        <f>INDEX(LINEST(Table2x4134144[CU10],Table2x4134144[RCR]^{1,2,3}),1,2)</f>
        <v>1.3310023310023333</v>
      </c>
      <c r="U27">
        <f>INDEX(LINEST(Table2x4134144[CU11],Table2x4134144[RCR]^{1,2,3}),1,2)</f>
        <v>1.696386946386949</v>
      </c>
      <c r="V27">
        <f>INDEX(LINEST(Table2x4134144[CU12],Table2x4134144[RCR]^{1,2,3}),1,2)</f>
        <v>0.97494172494172471</v>
      </c>
      <c r="W27">
        <f>INDEX(LINEST(Table2x4134144[CU13],Table2x4134144[RCR]^{1,2,3}),1,2)</f>
        <v>1.2208624708624776</v>
      </c>
      <c r="X27">
        <f>INDEX(LINEST(Table2x4134144[CU14],Table2x4134144[RCR]^{1,2,3}),1,2)</f>
        <v>1.6078088578088581</v>
      </c>
      <c r="Z27" t="s">
        <v>219</v>
      </c>
      <c r="AA27">
        <f>INDEX(LINEST(Table2x2141151[CU],Table2x2141151[RCR]^{1,2,3}),1,2)</f>
        <v>1.2062937062937111</v>
      </c>
      <c r="AB27">
        <f>INDEX(LINEST(Table2x2141151[CU1],Table2x2141151[RCR]^{1,2,3}),1,2)</f>
        <v>1.9108391608391677</v>
      </c>
      <c r="AC27">
        <f>INDEX(LINEST(Table2x2141151[CU2],Table2x2141151[RCR]^{1,2,3}),1,2)</f>
        <v>2.4201631701631716</v>
      </c>
      <c r="AD27">
        <f>INDEX(LINEST(Table2x2141151[CU3],Table2x2141151[RCR]^{1,2,3}),1,2)</f>
        <v>1.1013986013986088</v>
      </c>
      <c r="AE27">
        <f>INDEX(LINEST(Table2x2141151[CU4],Table2x2141151[RCR]^{1,2,3}),1,2)</f>
        <v>1.7680652680652769</v>
      </c>
      <c r="AF27">
        <f>INDEX(LINEST(Table2x2141151[CU5],Table2x2141151[RCR]^{1,2,3}),1,2)</f>
        <v>2.3065268065268132</v>
      </c>
      <c r="AG27">
        <f>INDEX(LINEST(Table2x2141151[CU6],Table2x2141151[RCR]^{1,2,3}),1,2)</f>
        <v>1.0128205128205159</v>
      </c>
      <c r="AH27">
        <f>INDEX(LINEST(Table2x2141151[CU7],Table2x2141151[RCR]^{1,2,3}),1,2)</f>
        <v>1.5145687645687689</v>
      </c>
      <c r="AI27">
        <f>INDEX(LINEST(Table2x2141151[CU8],Table2x2141151[RCR]^{1,2,3}),1,2)</f>
        <v>1.999417249417252</v>
      </c>
      <c r="AJ27">
        <f>INDEX(LINEST(Table2x2141151[CU9],Table2x2141151[RCR]^{1,2,3}),1,2)</f>
        <v>0.97144522144522616</v>
      </c>
      <c r="AK27">
        <f>INDEX(LINEST(Table2x2141151[CU10],Table2x2141151[RCR]^{1,2,3}),1,2)</f>
        <v>1.3310023310023333</v>
      </c>
      <c r="AL27">
        <f>INDEX(LINEST(Table2x2141151[CU11],Table2x2141151[RCR]^{1,2,3}),1,2)</f>
        <v>1.6777389277389347</v>
      </c>
      <c r="AM27">
        <f>INDEX(LINEST(Table2x2141151[CU12],Table2x2141151[RCR]^{1,2,3}),1,2)</f>
        <v>0.99941724941725407</v>
      </c>
      <c r="AN27">
        <f>INDEX(LINEST(Table2x2141151[CU13],Table2x2141151[RCR]^{1,2,3}),1,2)</f>
        <v>1.231351981351984</v>
      </c>
      <c r="AO27">
        <f>INDEX(LINEST(Table2x2141151[CU14],Table2x2141151[RCR]^{1,2,3}),1,2)</f>
        <v>1.4289044289044293</v>
      </c>
      <c r="AQ27" t="s">
        <v>219</v>
      </c>
      <c r="AR27" t="e">
        <f>INDEX(LINEST(Table1x4143153[CU],Table1x4143153[RCR]^{1,2,3}),1,2)</f>
        <v>#VALUE!</v>
      </c>
      <c r="AS27" t="e">
        <f>INDEX(LINEST(Table1x4143153[CU1],Table1x4143153[RCR]^{1,2,3}),1,2)</f>
        <v>#VALUE!</v>
      </c>
      <c r="AT27" t="e">
        <f>INDEX(LINEST(Table1x4143153[CU2],Table1x4143153[RCR]^{1,2,3}),1,2)</f>
        <v>#VALUE!</v>
      </c>
      <c r="AU27" t="e">
        <f>INDEX(LINEST(Table1x4143153[CU3],Table1x4143153[RCR]^{1,2,3}),1,2)</f>
        <v>#VALUE!</v>
      </c>
      <c r="AV27" t="e">
        <f>INDEX(LINEST(Table1x4143153[CU4],Table1x4143153[RCR]^{1,2,3}),1,2)</f>
        <v>#VALUE!</v>
      </c>
      <c r="AW27" t="e">
        <f>INDEX(LINEST(Table1x4143153[CU5],Table1x4143153[RCR]^{1,2,3}),1,2)</f>
        <v>#VALUE!</v>
      </c>
      <c r="AX27" t="e">
        <f>INDEX(LINEST(Table1x4143153[CU6],Table1x4143153[RCR]^{1,2,3}),1,2)</f>
        <v>#VALUE!</v>
      </c>
      <c r="AY27" t="e">
        <f>INDEX(LINEST(Table1x4143153[CU7],Table1x4143153[RCR]^{1,2,3}),1,2)</f>
        <v>#VALUE!</v>
      </c>
      <c r="AZ27" t="e">
        <f>INDEX(LINEST(Table1x4143153[CU8],Table1x4143153[RCR]^{1,2,3}),1,2)</f>
        <v>#VALUE!</v>
      </c>
      <c r="BA27" t="e">
        <f>INDEX(LINEST(Table1x4143153[CU9],Table1x4143153[RCR]^{1,2,3}),1,2)</f>
        <v>#VALUE!</v>
      </c>
      <c r="BB27" t="e">
        <f>INDEX(LINEST(Table1x4143153[CU10],Table1x4143153[RCR]^{1,2,3}),1,2)</f>
        <v>#VALUE!</v>
      </c>
      <c r="BC27" t="e">
        <f>INDEX(LINEST(Table1x4143153[CU11],Table1x4143153[RCR]^{1,2,3}),1,2)</f>
        <v>#VALUE!</v>
      </c>
      <c r="BD27" t="e">
        <f>INDEX(LINEST(Table1x4143153[CU12],Table1x4143153[RCR]^{1,2,3}),1,2)</f>
        <v>#VALUE!</v>
      </c>
      <c r="BE27" t="e">
        <f>INDEX(LINEST(Table1x4143153[CU13],Table1x4143153[RCR]^{1,2,3}),1,2)</f>
        <v>#VALUE!</v>
      </c>
      <c r="BF27" t="e">
        <f>INDEX(LINEST(Table1x4143153[CU14],Table1x4143153[RCR]^{1,2,3}),1,2)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INDEX(LINEST(Table2x4134144[CU],Table2x4134144[RCR]^{1,2,3}),1,3)</f>
        <v>-16.291763791763788</v>
      </c>
      <c r="K28">
        <f>INDEX(LINEST(Table2x4134144[CU1],Table2x4134144[RCR]^{1,2,3}),1,3)</f>
        <v>-20.809246309246301</v>
      </c>
      <c r="L28">
        <f>INDEX(LINEST(Table2x4134144[CU2],Table2x4134144[RCR]^{1,2,3}),1,3)</f>
        <v>-24.436285936285927</v>
      </c>
      <c r="M28">
        <f>INDEX(LINEST(Table2x4134144[CU3],Table2x4134144[RCR]^{1,2,3}),1,3)</f>
        <v>-15.781274281274271</v>
      </c>
      <c r="N28">
        <f>INDEX(LINEST(Table2x4134144[CU4],Table2x4134144[RCR]^{1,2,3}),1,3)</f>
        <v>-19.651126651126656</v>
      </c>
      <c r="O28">
        <f>INDEX(LINEST(Table2x4134144[CU5],Table2x4134144[RCR]^{1,2,3}),1,3)</f>
        <v>-22.939393939393952</v>
      </c>
      <c r="P28">
        <f>INDEX(LINEST(Table2x4134144[CU6],Table2x4134144[RCR]^{1,2,3}),1,3)</f>
        <v>-14.930458430458438</v>
      </c>
      <c r="Q28">
        <f>INDEX(LINEST(Table2x4134144[CU7],Table2x4134144[RCR]^{1,2,3}),1,3)</f>
        <v>-18.327894327894327</v>
      </c>
      <c r="R28">
        <f>INDEX(LINEST(Table2x4134144[CU8],Table2x4134144[RCR]^{1,2,3}),1,3)</f>
        <v>-20.901320901320933</v>
      </c>
      <c r="S28">
        <f>INDEX(LINEST(Table2x4134144[CU9],Table2x4134144[RCR]^{1,2,3}),1,3)</f>
        <v>-13.858585858585876</v>
      </c>
      <c r="T28">
        <f>INDEX(LINEST(Table2x4134144[CU10],Table2x4134144[RCR]^{1,2,3}),1,3)</f>
        <v>-16.42696192696193</v>
      </c>
      <c r="U28">
        <f>INDEX(LINEST(Table2x4134144[CU11],Table2x4134144[RCR]^{1,2,3}),1,3)</f>
        <v>-18.894327894327898</v>
      </c>
      <c r="V28">
        <f>INDEX(LINEST(Table2x4134144[CU12],Table2x4134144[RCR]^{1,2,3}),1,3)</f>
        <v>-13.273504273504264</v>
      </c>
      <c r="W28">
        <f>INDEX(LINEST(Table2x4134144[CU13],Table2x4134144[RCR]^{1,2,3}),1,3)</f>
        <v>-15.475912975912999</v>
      </c>
      <c r="X28">
        <f>INDEX(LINEST(Table2x4134144[CU14],Table2x4134144[RCR]^{1,2,3}),1,3)</f>
        <v>-17.843045843045839</v>
      </c>
      <c r="Z28" t="s">
        <v>220</v>
      </c>
      <c r="AA28">
        <f>INDEX(LINEST(Table2x2141151[CU],Table2x2141151[RCR]^{1,2,3}),1,3)</f>
        <v>-16.175213675213687</v>
      </c>
      <c r="AB28">
        <f>INDEX(LINEST(Table2x2141151[CU1],Table2x2141151[RCR]^{1,2,3}),1,3)</f>
        <v>-20.692696192696214</v>
      </c>
      <c r="AC28">
        <f>INDEX(LINEST(Table2x2141151[CU2],Table2x2141151[RCR]^{1,2,3}),1,3)</f>
        <v>-23.877622377622369</v>
      </c>
      <c r="AD28">
        <f>INDEX(LINEST(Table2x2141151[CU3],Table2x2141151[RCR]^{1,2,3}),1,3)</f>
        <v>-15.475524475524503</v>
      </c>
      <c r="AE28">
        <f>INDEX(LINEST(Table2x2141151[CU4],Table2x2141151[RCR]^{1,2,3}),1,3)</f>
        <v>-19.605283605283635</v>
      </c>
      <c r="AF28">
        <f>INDEX(LINEST(Table2x2141151[CU5],Table2x2141151[RCR]^{1,2,3}),1,3)</f>
        <v>-22.964646464646489</v>
      </c>
      <c r="AG28">
        <f>INDEX(LINEST(Table2x2141151[CU6],Table2x2141151[RCR]^{1,2,3}),1,3)</f>
        <v>-14.586635586635595</v>
      </c>
      <c r="AH28">
        <f>INDEX(LINEST(Table2x2141151[CU7],Table2x2141151[RCR]^{1,2,3}),1,3)</f>
        <v>-17.995337995338009</v>
      </c>
      <c r="AI28">
        <f>INDEX(LINEST(Table2x2141151[CU8],Table2x2141151[RCR]^{1,2,3}),1,3)</f>
        <v>-20.917637917637915</v>
      </c>
      <c r="AJ28">
        <f>INDEX(LINEST(Table2x2141151[CU9],Table2x2141151[RCR]^{1,2,3}),1,3)</f>
        <v>-13.75485625485627</v>
      </c>
      <c r="AK28">
        <f>INDEX(LINEST(Table2x2141151[CU10],Table2x2141151[RCR]^{1,2,3}),1,3)</f>
        <v>-16.42696192696193</v>
      </c>
      <c r="AL28">
        <f>INDEX(LINEST(Table2x2141151[CU11],Table2x2141151[RCR]^{1,2,3}),1,3)</f>
        <v>-18.779331779331805</v>
      </c>
      <c r="AM28">
        <f>INDEX(LINEST(Table2x2141151[CU12],Table2x2141151[RCR]^{1,2,3}),1,3)</f>
        <v>-13.373737373737391</v>
      </c>
      <c r="AN28">
        <f>INDEX(LINEST(Table2x2141151[CU13],Table2x2141151[RCR]^{1,2,3}),1,3)</f>
        <v>-15.436285936285941</v>
      </c>
      <c r="AO28">
        <f>INDEX(LINEST(Table2x2141151[CU14],Table2x2141151[RCR]^{1,2,3}),1,3)</f>
        <v>-17.144522144522139</v>
      </c>
      <c r="AQ28" t="s">
        <v>220</v>
      </c>
      <c r="AR28" t="e">
        <f>INDEX(LINEST(Table1x4143153[CU],Table1x4143153[RCR]^{1,2,3}),1,3)</f>
        <v>#VALUE!</v>
      </c>
      <c r="AS28" t="e">
        <f>INDEX(LINEST(Table1x4143153[CU1],Table1x4143153[RCR]^{1,2,3}),1,3)</f>
        <v>#VALUE!</v>
      </c>
      <c r="AT28" t="e">
        <f>INDEX(LINEST(Table1x4143153[CU2],Table1x4143153[RCR]^{1,2,3}),1,3)</f>
        <v>#VALUE!</v>
      </c>
      <c r="AU28" t="e">
        <f>INDEX(LINEST(Table1x4143153[CU3],Table1x4143153[RCR]^{1,2,3}),1,3)</f>
        <v>#VALUE!</v>
      </c>
      <c r="AV28" t="e">
        <f>INDEX(LINEST(Table1x4143153[CU4],Table1x4143153[RCR]^{1,2,3}),1,3)</f>
        <v>#VALUE!</v>
      </c>
      <c r="AW28" t="e">
        <f>INDEX(LINEST(Table1x4143153[CU5],Table1x4143153[RCR]^{1,2,3}),1,3)</f>
        <v>#VALUE!</v>
      </c>
      <c r="AX28" t="e">
        <f>INDEX(LINEST(Table1x4143153[CU6],Table1x4143153[RCR]^{1,2,3}),1,3)</f>
        <v>#VALUE!</v>
      </c>
      <c r="AY28" t="e">
        <f>INDEX(LINEST(Table1x4143153[CU7],Table1x4143153[RCR]^{1,2,3}),1,3)</f>
        <v>#VALUE!</v>
      </c>
      <c r="AZ28" t="e">
        <f>INDEX(LINEST(Table1x4143153[CU8],Table1x4143153[RCR]^{1,2,3}),1,3)</f>
        <v>#VALUE!</v>
      </c>
      <c r="BA28" t="e">
        <f>INDEX(LINEST(Table1x4143153[CU9],Table1x4143153[RCR]^{1,2,3}),1,3)</f>
        <v>#VALUE!</v>
      </c>
      <c r="BB28" t="e">
        <f>INDEX(LINEST(Table1x4143153[CU10],Table1x4143153[RCR]^{1,2,3}),1,3)</f>
        <v>#VALUE!</v>
      </c>
      <c r="BC28" t="e">
        <f>INDEX(LINEST(Table1x4143153[CU11],Table1x4143153[RCR]^{1,2,3}),1,3)</f>
        <v>#VALUE!</v>
      </c>
      <c r="BD28" t="e">
        <f>INDEX(LINEST(Table1x4143153[CU12],Table1x4143153[RCR]^{1,2,3}),1,3)</f>
        <v>#VALUE!</v>
      </c>
      <c r="BE28" t="e">
        <f>INDEX(LINEST(Table1x4143153[CU13],Table1x4143153[RCR]^{1,2,3}),1,3)</f>
        <v>#VALUE!</v>
      </c>
      <c r="BF28" t="e">
        <f>INDEX(LINEST(Table1x4143153[CU14],Table1x4143153[RCR]^{1,2,3}),1,3)</f>
        <v>#VALUE!</v>
      </c>
    </row>
    <row r="29" spans="1:63" x14ac:dyDescent="0.25">
      <c r="C29" s="3"/>
      <c r="H29" s="5"/>
      <c r="I29" t="s">
        <v>221</v>
      </c>
      <c r="J29">
        <f>INDEX(LINEST(Table2x4134144[CU],Table2x4134144[RCR]^{1,2,3}),1,4)</f>
        <v>119.02797202797203</v>
      </c>
      <c r="K29">
        <f>INDEX(LINEST(Table2x4134144[CU1],Table2x4134144[RCR]^{1,2,3}),1,4)</f>
        <v>118.90909090909088</v>
      </c>
      <c r="L29">
        <f>INDEX(LINEST(Table2x4134144[CU2],Table2x4134144[RCR]^{1,2,3}),1,4)</f>
        <v>118.5524475524475</v>
      </c>
      <c r="M29">
        <f>INDEX(LINEST(Table2x4134144[CU3],Table2x4134144[RCR]^{1,2,3}),1,4)</f>
        <v>116.1958041958042</v>
      </c>
      <c r="N29">
        <f>INDEX(LINEST(Table2x4134144[CU4],Table2x4134144[RCR]^{1,2,3}),1,4)</f>
        <v>115.92307692307691</v>
      </c>
      <c r="O29">
        <f>INDEX(LINEST(Table2x4134144[CU5],Table2x4134144[RCR]^{1,2,3}),1,4)</f>
        <v>115.83216783216784</v>
      </c>
      <c r="P29">
        <f>INDEX(LINEST(Table2x4134144[CU6],Table2x4134144[RCR]^{1,2,3}),1,4)</f>
        <v>111.36363636363633</v>
      </c>
      <c r="Q29">
        <f>INDEX(LINEST(Table2x4134144[CU7],Table2x4134144[RCR]^{1,2,3}),1,4)</f>
        <v>111.15384615384613</v>
      </c>
      <c r="R29">
        <f>INDEX(LINEST(Table2x4134144[CU8],Table2x4134144[RCR]^{1,2,3}),1,4)</f>
        <v>110.90909090909092</v>
      </c>
      <c r="S29">
        <f>INDEX(LINEST(Table2x4134144[CU9],Table2x4134144[RCR]^{1,2,3}),1,4)</f>
        <v>106.25874125874127</v>
      </c>
      <c r="T29">
        <f>INDEX(LINEST(Table2x4134144[CU10],Table2x4134144[RCR]^{1,2,3}),1,4)</f>
        <v>105.98601398601397</v>
      </c>
      <c r="U29">
        <f>INDEX(LINEST(Table2x4134144[CU11],Table2x4134144[RCR]^{1,2,3}),1,4)</f>
        <v>106</v>
      </c>
      <c r="V29">
        <f>INDEX(LINEST(Table2x4134144[CU12],Table2x4134144[RCR]^{1,2,3}),1,4)</f>
        <v>102.06993006993005</v>
      </c>
      <c r="W29">
        <f>INDEX(LINEST(Table2x4134144[CU13],Table2x4134144[RCR]^{1,2,3}),1,4)</f>
        <v>102.09790209790211</v>
      </c>
      <c r="X29">
        <f>INDEX(LINEST(Table2x4134144[CU14],Table2x4134144[RCR]^{1,2,3}),1,4)</f>
        <v>102.02097902097903</v>
      </c>
      <c r="Z29" t="s">
        <v>221</v>
      </c>
      <c r="AA29">
        <f>INDEX(LINEST(Table2x2141151[CU],Table2x2141151[RCR]^{1,2,3}),1,4)</f>
        <v>118.94405594405592</v>
      </c>
      <c r="AB29">
        <f>INDEX(LINEST(Table2x2141151[CU1],Table2x2141151[RCR]^{1,2,3}),1,4)</f>
        <v>118.82517482517484</v>
      </c>
      <c r="AC29">
        <f>INDEX(LINEST(Table2x2141151[CU2],Table2x2141151[RCR]^{1,2,3}),1,4)</f>
        <v>118.34965034965032</v>
      </c>
      <c r="AD29">
        <f>INDEX(LINEST(Table2x2141151[CU3],Table2x2141151[RCR]^{1,2,3}),1,4)</f>
        <v>116.11888111888112</v>
      </c>
      <c r="AE29">
        <f>INDEX(LINEST(Table2x2141151[CU4],Table2x2141151[RCR]^{1,2,3}),1,4)</f>
        <v>115.89510489510488</v>
      </c>
      <c r="AF29">
        <f>INDEX(LINEST(Table2x2141151[CU5],Table2x2141151[RCR]^{1,2,3}),1,4)</f>
        <v>115.79020979020979</v>
      </c>
      <c r="AG29">
        <f>INDEX(LINEST(Table2x2141151[CU6],Table2x2141151[RCR]^{1,2,3}),1,4)</f>
        <v>111.25174825174825</v>
      </c>
      <c r="AH29">
        <f>INDEX(LINEST(Table2x2141151[CU7],Table2x2141151[RCR]^{1,2,3}),1,4)</f>
        <v>111.18181818181819</v>
      </c>
      <c r="AI29">
        <f>INDEX(LINEST(Table2x2141151[CU8],Table2x2141151[RCR]^{1,2,3}),1,4)</f>
        <v>110.90209790209785</v>
      </c>
      <c r="AJ29">
        <f>INDEX(LINEST(Table2x2141151[CU9],Table2x2141151[RCR]^{1,2,3}),1,4)</f>
        <v>106.23076923076923</v>
      </c>
      <c r="AK29">
        <f>INDEX(LINEST(Table2x2141151[CU10],Table2x2141151[RCR]^{1,2,3}),1,4)</f>
        <v>105.98601398601397</v>
      </c>
      <c r="AL29">
        <f>INDEX(LINEST(Table2x2141151[CU11],Table2x2141151[RCR]^{1,2,3}),1,4)</f>
        <v>105.92307692307696</v>
      </c>
      <c r="AM29">
        <f>INDEX(LINEST(Table2x2141151[CU12],Table2x2141151[RCR]^{1,2,3}),1,4)</f>
        <v>102.12587412587412</v>
      </c>
      <c r="AN29">
        <f>INDEX(LINEST(Table2x2141151[CU13],Table2x2141151[RCR]^{1,2,3}),1,4)</f>
        <v>102.12587412587411</v>
      </c>
      <c r="AO29">
        <f>INDEX(LINEST(Table2x2141151[CU14],Table2x2141151[RCR]^{1,2,3}),1,4)</f>
        <v>101.89510489510486</v>
      </c>
      <c r="AQ29" t="s">
        <v>221</v>
      </c>
      <c r="AR29" t="e">
        <f>INDEX(LINEST(Table1x4143153[CU],Table1x4143153[RCR]^{1,2,3}),1,4)</f>
        <v>#VALUE!</v>
      </c>
      <c r="AS29" t="e">
        <f>INDEX(LINEST(Table1x4143153[CU1],Table1x4143153[RCR]^{1,2,3}),1,4)</f>
        <v>#VALUE!</v>
      </c>
      <c r="AT29" t="e">
        <f>INDEX(LINEST(Table1x4143153[CU2],Table1x4143153[RCR]^{1,2,3}),1,4)</f>
        <v>#VALUE!</v>
      </c>
      <c r="AU29" t="e">
        <f>INDEX(LINEST(Table1x4143153[CU3],Table1x4143153[RCR]^{1,2,3}),1,4)</f>
        <v>#VALUE!</v>
      </c>
      <c r="AV29" t="e">
        <f>INDEX(LINEST(Table1x4143153[CU4],Table1x4143153[RCR]^{1,2,3}),1,4)</f>
        <v>#VALUE!</v>
      </c>
      <c r="AW29" t="e">
        <f>INDEX(LINEST(Table1x4143153[CU5],Table1x4143153[RCR]^{1,2,3}),1,4)</f>
        <v>#VALUE!</v>
      </c>
      <c r="AX29" t="e">
        <f>INDEX(LINEST(Table1x4143153[CU6],Table1x4143153[RCR]^{1,2,3}),1,4)</f>
        <v>#VALUE!</v>
      </c>
      <c r="AY29" t="e">
        <f>INDEX(LINEST(Table1x4143153[CU7],Table1x4143153[RCR]^{1,2,3}),1,4)</f>
        <v>#VALUE!</v>
      </c>
      <c r="AZ29" t="e">
        <f>INDEX(LINEST(Table1x4143153[CU8],Table1x4143153[RCR]^{1,2,3}),1,4)</f>
        <v>#VALUE!</v>
      </c>
      <c r="BA29" t="e">
        <f>INDEX(LINEST(Table1x4143153[CU9],Table1x4143153[RCR]^{1,2,3}),1,4)</f>
        <v>#VALUE!</v>
      </c>
      <c r="BB29" t="e">
        <f>INDEX(LINEST(Table1x4143153[CU10],Table1x4143153[RCR]^{1,2,3}),1,4)</f>
        <v>#VALUE!</v>
      </c>
      <c r="BC29" t="e">
        <f>INDEX(LINEST(Table1x4143153[CU11],Table1x4143153[RCR]^{1,2,3}),1,4)</f>
        <v>#VALUE!</v>
      </c>
      <c r="BD29" t="e">
        <f>INDEX(LINEST(Table1x4143153[CU12],Table1x4143153[RCR]^{1,2,3}),1,4)</f>
        <v>#VALUE!</v>
      </c>
      <c r="BE29" t="e">
        <f>INDEX(LINEST(Table1x4143153[CU13],Table1x4143153[RCR]^{1,2,3}),1,4)</f>
        <v>#VALUE!</v>
      </c>
      <c r="BF29" t="e">
        <f>INDEX(LINEST(Table1x4143153[CU14],Table1x4143153[RCR]^{1,2,3}),1,4)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0</v>
      </c>
      <c r="F44" s="12">
        <f>E44*(C14-C15)</f>
        <v>0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0</v>
      </c>
      <c r="F45" s="12">
        <f>E45*(C14-C15)</f>
        <v>0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IF(C39=1,C1/2,C44/2)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IF(C40=1,C2/2,C45/2)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ht="14.25" customHeight="1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K65">
        <v>14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K66">
        <v>14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K67">
        <v>14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K68">
        <v>14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K69">
        <v>14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K70">
        <v>14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K71">
        <v>14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K72">
        <v>14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K73">
        <v>14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K74">
        <v>14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K75">
        <v>14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K76">
        <v>14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K77">
        <v>14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s="16" t="s">
        <v>1107</v>
      </c>
      <c r="J81" s="17">
        <v>11479</v>
      </c>
      <c r="K81" s="17">
        <v>94</v>
      </c>
    </row>
    <row r="82" spans="9:22" x14ac:dyDescent="0.25">
      <c r="I82" s="16" t="s">
        <v>1108</v>
      </c>
      <c r="J82" s="17">
        <v>13190</v>
      </c>
      <c r="K82" s="17">
        <v>104</v>
      </c>
    </row>
    <row r="83" spans="9:22" x14ac:dyDescent="0.25">
      <c r="I83" s="16" t="s">
        <v>1109</v>
      </c>
      <c r="J83" s="17">
        <v>14748</v>
      </c>
      <c r="K83" s="17">
        <v>120</v>
      </c>
    </row>
    <row r="84" spans="9:22" x14ac:dyDescent="0.25">
      <c r="I84" s="16" t="s">
        <v>1110</v>
      </c>
      <c r="J84" s="17">
        <v>16699</v>
      </c>
      <c r="K84" s="17">
        <v>141</v>
      </c>
    </row>
    <row r="85" spans="9:22" x14ac:dyDescent="0.25">
      <c r="I85" s="16" t="s">
        <v>1111</v>
      </c>
      <c r="J85" s="17">
        <v>6146</v>
      </c>
      <c r="K85" s="17">
        <v>50</v>
      </c>
    </row>
    <row r="86" spans="9:22" x14ac:dyDescent="0.25">
      <c r="I86" s="16" t="s">
        <v>1112</v>
      </c>
      <c r="J86" s="17">
        <v>7910</v>
      </c>
      <c r="K86" s="17">
        <v>64</v>
      </c>
    </row>
    <row r="87" spans="9:22" x14ac:dyDescent="0.25">
      <c r="I87" s="16" t="s">
        <v>1113</v>
      </c>
      <c r="J87" s="17">
        <v>9741</v>
      </c>
      <c r="K87" s="17">
        <v>80</v>
      </c>
      <c r="N87" t="s">
        <v>11</v>
      </c>
      <c r="O87" t="s">
        <v>12</v>
      </c>
      <c r="P87" t="s">
        <v>15</v>
      </c>
      <c r="R87" t="s">
        <v>143</v>
      </c>
      <c r="S87" t="s">
        <v>135</v>
      </c>
      <c r="T87" t="s">
        <v>136</v>
      </c>
      <c r="V87" t="s">
        <v>138</v>
      </c>
    </row>
    <row r="88" spans="9:22" x14ac:dyDescent="0.25">
      <c r="I88" s="16" t="s">
        <v>1114</v>
      </c>
      <c r="J88" s="17">
        <v>11755</v>
      </c>
      <c r="K88" s="17">
        <v>102</v>
      </c>
      <c r="N88">
        <v>80</v>
      </c>
      <c r="O88">
        <v>50</v>
      </c>
      <c r="P88">
        <v>20</v>
      </c>
      <c r="R88">
        <v>24</v>
      </c>
      <c r="S88">
        <v>1.26</v>
      </c>
      <c r="T88">
        <v>1.28</v>
      </c>
      <c r="V88">
        <v>0</v>
      </c>
    </row>
    <row r="89" spans="9:22" x14ac:dyDescent="0.25">
      <c r="I89" s="16" t="s">
        <v>1115</v>
      </c>
      <c r="J89" s="17">
        <v>11672</v>
      </c>
      <c r="K89" s="17">
        <v>94</v>
      </c>
      <c r="N89">
        <v>70</v>
      </c>
      <c r="O89">
        <v>30</v>
      </c>
      <c r="R89">
        <v>22</v>
      </c>
      <c r="S89" s="11">
        <v>1.24</v>
      </c>
      <c r="T89">
        <v>1.28</v>
      </c>
      <c r="V89">
        <v>90</v>
      </c>
    </row>
    <row r="90" spans="9:22" x14ac:dyDescent="0.25">
      <c r="I90" s="16" t="s">
        <v>1116</v>
      </c>
      <c r="J90" s="17">
        <v>13412</v>
      </c>
      <c r="K90" s="17">
        <v>104</v>
      </c>
      <c r="N90">
        <v>50</v>
      </c>
      <c r="O90">
        <v>10</v>
      </c>
      <c r="R90">
        <v>14</v>
      </c>
    </row>
    <row r="91" spans="9:22" x14ac:dyDescent="0.25">
      <c r="I91" s="16" t="s">
        <v>1117</v>
      </c>
      <c r="J91" s="17">
        <v>14995</v>
      </c>
      <c r="K91" s="17">
        <v>120</v>
      </c>
      <c r="N91">
        <v>30</v>
      </c>
    </row>
    <row r="92" spans="9:22" x14ac:dyDescent="0.25">
      <c r="I92" s="16" t="s">
        <v>1118</v>
      </c>
      <c r="J92" s="17">
        <v>16979</v>
      </c>
      <c r="K92" s="17">
        <v>141</v>
      </c>
      <c r="N92">
        <v>10</v>
      </c>
    </row>
    <row r="93" spans="9:22" x14ac:dyDescent="0.25">
      <c r="I93" s="16" t="s">
        <v>1119</v>
      </c>
      <c r="J93" s="17">
        <v>6250</v>
      </c>
      <c r="K93" s="17">
        <v>50</v>
      </c>
    </row>
    <row r="94" spans="9:22" x14ac:dyDescent="0.25">
      <c r="I94" s="16" t="s">
        <v>1120</v>
      </c>
      <c r="J94" s="17">
        <v>8043</v>
      </c>
      <c r="K94" s="17">
        <v>64</v>
      </c>
    </row>
    <row r="95" spans="9:22" x14ac:dyDescent="0.25">
      <c r="I95" s="16" t="s">
        <v>1121</v>
      </c>
      <c r="J95" s="17">
        <v>9904</v>
      </c>
      <c r="K95" s="17">
        <v>80</v>
      </c>
    </row>
    <row r="96" spans="9:22" x14ac:dyDescent="0.25">
      <c r="I96" s="16" t="s">
        <v>1122</v>
      </c>
      <c r="J96" s="17">
        <v>11952</v>
      </c>
      <c r="K96" s="17">
        <v>102</v>
      </c>
    </row>
    <row r="97" spans="9:11" x14ac:dyDescent="0.25">
      <c r="I97" s="16" t="s">
        <v>1123</v>
      </c>
      <c r="J97" s="17">
        <v>12058</v>
      </c>
      <c r="K97" s="17">
        <v>94</v>
      </c>
    </row>
    <row r="98" spans="9:11" x14ac:dyDescent="0.25">
      <c r="I98" s="16" t="s">
        <v>1124</v>
      </c>
      <c r="J98" s="17">
        <v>13855</v>
      </c>
      <c r="K98" s="17">
        <v>104</v>
      </c>
    </row>
    <row r="99" spans="9:11" x14ac:dyDescent="0.25">
      <c r="I99" s="16" t="s">
        <v>1125</v>
      </c>
      <c r="J99" s="17">
        <v>15491</v>
      </c>
      <c r="K99" s="17">
        <v>120</v>
      </c>
    </row>
    <row r="100" spans="9:11" x14ac:dyDescent="0.25">
      <c r="I100" s="16" t="s">
        <v>1126</v>
      </c>
      <c r="J100" s="17">
        <v>17541</v>
      </c>
      <c r="K100" s="17">
        <v>141</v>
      </c>
    </row>
    <row r="101" spans="9:11" x14ac:dyDescent="0.25">
      <c r="I101" s="16" t="s">
        <v>1127</v>
      </c>
      <c r="J101" s="17">
        <v>6456</v>
      </c>
      <c r="K101" s="17">
        <v>50</v>
      </c>
    </row>
    <row r="102" spans="9:11" x14ac:dyDescent="0.25">
      <c r="I102" s="16" t="s">
        <v>1128</v>
      </c>
      <c r="J102" s="17">
        <v>8309</v>
      </c>
      <c r="K102" s="17">
        <v>64</v>
      </c>
    </row>
    <row r="103" spans="9:11" x14ac:dyDescent="0.25">
      <c r="I103" s="16" t="s">
        <v>1129</v>
      </c>
      <c r="J103" s="17">
        <v>10232</v>
      </c>
      <c r="K103" s="17">
        <v>80</v>
      </c>
    </row>
    <row r="104" spans="9:11" x14ac:dyDescent="0.25">
      <c r="I104" s="16" t="s">
        <v>1130</v>
      </c>
      <c r="J104" s="17">
        <v>12348</v>
      </c>
      <c r="K104" s="17">
        <v>102</v>
      </c>
    </row>
    <row r="105" spans="9:11" x14ac:dyDescent="0.25">
      <c r="I105" s="16" t="s">
        <v>1131</v>
      </c>
      <c r="J105" s="17">
        <v>12420</v>
      </c>
      <c r="K105" s="17">
        <v>94</v>
      </c>
    </row>
    <row r="106" spans="9:11" x14ac:dyDescent="0.25">
      <c r="I106" s="16" t="s">
        <v>1132</v>
      </c>
      <c r="J106" s="17">
        <v>14271</v>
      </c>
      <c r="K106" s="17">
        <v>104</v>
      </c>
    </row>
    <row r="107" spans="9:11" x14ac:dyDescent="0.25">
      <c r="I107" s="16" t="s">
        <v>1133</v>
      </c>
      <c r="J107" s="17">
        <v>15956</v>
      </c>
      <c r="K107" s="17">
        <v>120</v>
      </c>
    </row>
    <row r="108" spans="9:11" x14ac:dyDescent="0.25">
      <c r="I108" s="16" t="s">
        <v>1134</v>
      </c>
      <c r="J108" s="17">
        <v>18067</v>
      </c>
      <c r="K108" s="17">
        <v>141</v>
      </c>
    </row>
    <row r="109" spans="9:11" x14ac:dyDescent="0.25">
      <c r="I109" s="16" t="s">
        <v>1135</v>
      </c>
      <c r="J109" s="17">
        <v>6650</v>
      </c>
      <c r="K109" s="17">
        <v>50</v>
      </c>
    </row>
    <row r="110" spans="9:11" x14ac:dyDescent="0.25">
      <c r="I110" s="16" t="s">
        <v>1136</v>
      </c>
      <c r="J110" s="17">
        <v>8558</v>
      </c>
      <c r="K110" s="17">
        <v>64</v>
      </c>
    </row>
    <row r="111" spans="9:11" x14ac:dyDescent="0.25">
      <c r="I111" s="16" t="s">
        <v>1137</v>
      </c>
      <c r="J111" s="17">
        <v>10539</v>
      </c>
      <c r="K111" s="17">
        <v>80</v>
      </c>
    </row>
    <row r="112" spans="9:11" x14ac:dyDescent="0.25">
      <c r="I112" s="16" t="s">
        <v>1138</v>
      </c>
      <c r="J112" s="17">
        <v>12718</v>
      </c>
      <c r="K112" s="17">
        <v>102</v>
      </c>
    </row>
  </sheetData>
  <sheetProtection algorithmName="SHA-512" hashValue="k88drWXJhbHuF2xVbhvj03MQpDpCWMBcP4epN8NB/F0MPYkjZ2paXtDLKzYHnN1jQ4dnKJ/TQecTy0BA3VL07g==" saltValue="wLzt+ZiWa+ixlqBocyiBDQ==" spinCount="100000" sheet="1" selectLockedCells="1"/>
  <mergeCells count="4">
    <mergeCell ref="BI5:BK5"/>
    <mergeCell ref="BI6:BK6"/>
    <mergeCell ref="BI7:BK7"/>
    <mergeCell ref="A52:D55"/>
  </mergeCells>
  <conditionalFormatting sqref="C44">
    <cfRule type="cellIs" dxfId="128" priority="2" operator="greaterThan">
      <formula>$F$44</formula>
    </cfRule>
  </conditionalFormatting>
  <conditionalFormatting sqref="C45">
    <cfRule type="cellIs" dxfId="127" priority="1" operator="greaterThan">
      <formula>$F$45</formula>
    </cfRule>
  </conditionalFormatting>
  <dataValidations count="4">
    <dataValidation type="list" allowBlank="1" showInputMessage="1" showErrorMessage="1" sqref="C43" xr:uid="{E25757FF-F070-4849-8F92-6C1B101A9E7D}">
      <formula1>$V$88:$V$89</formula1>
    </dataValidation>
    <dataValidation type="list" allowBlank="1" showInputMessage="1" showErrorMessage="1" sqref="C18" xr:uid="{D5A2B081-7DF2-4CDD-9243-51BC4725E01D}">
      <formula1>$O$88:$O$90</formula1>
    </dataValidation>
    <dataValidation type="list" allowBlank="1" showInputMessage="1" showErrorMessage="1" sqref="C17" xr:uid="{124C27F8-2391-4E0F-A2BF-5D64F386B03B}">
      <formula1>$N$88:$N$92</formula1>
    </dataValidation>
    <dataValidation type="list" allowBlank="1" showInputMessage="1" showErrorMessage="1" sqref="C21" xr:uid="{C673AC5B-6608-4CE2-8F9A-45E776E12448}">
      <formula1>$I$81:$I$112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011E4-1AAF-4CDE-B588-985DAC54C304}">
  <sheetPr>
    <pageSetUpPr fitToPage="1"/>
  </sheetPr>
  <dimension ref="A5:BK168"/>
  <sheetViews>
    <sheetView showGridLines="0" zoomScaleNormal="100" zoomScaleSheetLayoutView="9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28515625" customWidth="1"/>
    <col min="3" max="3" width="25.8554687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41" width="9.140625" hidden="1" customWidth="1"/>
    <col min="42" max="58" width="9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1342</v>
      </c>
      <c r="BH7" s="5" t="s">
        <v>1345</v>
      </c>
      <c r="BI7" s="37"/>
      <c r="BJ7" s="37"/>
      <c r="BK7" s="37"/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111</v>
      </c>
      <c r="AY13">
        <v>111</v>
      </c>
      <c r="AZ13">
        <v>111</v>
      </c>
      <c r="BA13">
        <v>106</v>
      </c>
      <c r="BB13">
        <v>106</v>
      </c>
      <c r="BC13">
        <v>106</v>
      </c>
      <c r="BD13">
        <v>102</v>
      </c>
      <c r="BE13">
        <v>102</v>
      </c>
      <c r="BF13">
        <v>102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103</v>
      </c>
      <c r="K14">
        <v>99</v>
      </c>
      <c r="L14">
        <v>95</v>
      </c>
      <c r="M14">
        <v>101</v>
      </c>
      <c r="N14">
        <v>97</v>
      </c>
      <c r="O14">
        <v>94</v>
      </c>
      <c r="P14">
        <v>97</v>
      </c>
      <c r="Q14">
        <v>94</v>
      </c>
      <c r="R14">
        <v>91</v>
      </c>
      <c r="S14">
        <v>93</v>
      </c>
      <c r="T14">
        <v>90</v>
      </c>
      <c r="U14">
        <v>88</v>
      </c>
      <c r="V14">
        <v>89</v>
      </c>
      <c r="W14">
        <v>87</v>
      </c>
      <c r="X14">
        <v>85</v>
      </c>
      <c r="Z14">
        <v>1</v>
      </c>
      <c r="AA14">
        <v>104</v>
      </c>
      <c r="AB14">
        <v>99</v>
      </c>
      <c r="AC14">
        <v>95</v>
      </c>
      <c r="AD14">
        <v>101</v>
      </c>
      <c r="AE14">
        <v>97</v>
      </c>
      <c r="AF14">
        <v>94</v>
      </c>
      <c r="AG14">
        <v>97</v>
      </c>
      <c r="AH14">
        <v>94</v>
      </c>
      <c r="AI14">
        <v>91</v>
      </c>
      <c r="AJ14">
        <v>93</v>
      </c>
      <c r="AK14">
        <v>91</v>
      </c>
      <c r="AL14">
        <v>88</v>
      </c>
      <c r="AM14">
        <v>90</v>
      </c>
      <c r="AN14">
        <v>87</v>
      </c>
      <c r="AO14">
        <v>85</v>
      </c>
      <c r="AQ14">
        <v>1</v>
      </c>
      <c r="AR14">
        <v>104</v>
      </c>
      <c r="AS14">
        <v>100</v>
      </c>
      <c r="AT14">
        <v>97</v>
      </c>
      <c r="AU14">
        <v>102</v>
      </c>
      <c r="AV14">
        <v>98</v>
      </c>
      <c r="AW14">
        <v>95</v>
      </c>
      <c r="AX14">
        <v>98</v>
      </c>
      <c r="AY14">
        <v>95</v>
      </c>
      <c r="AZ14">
        <v>92</v>
      </c>
      <c r="BA14">
        <v>94</v>
      </c>
      <c r="BB14">
        <v>91</v>
      </c>
      <c r="BC14">
        <v>89</v>
      </c>
      <c r="BD14">
        <v>90</v>
      </c>
      <c r="BE14">
        <v>88</v>
      </c>
      <c r="BF14">
        <v>86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83</v>
      </c>
      <c r="L15">
        <v>77</v>
      </c>
      <c r="M15">
        <v>88</v>
      </c>
      <c r="N15">
        <v>82</v>
      </c>
      <c r="O15">
        <v>76</v>
      </c>
      <c r="P15">
        <v>85</v>
      </c>
      <c r="Q15">
        <v>79</v>
      </c>
      <c r="R15">
        <v>75</v>
      </c>
      <c r="S15">
        <v>81</v>
      </c>
      <c r="T15">
        <v>77</v>
      </c>
      <c r="U15">
        <v>73</v>
      </c>
      <c r="V15">
        <v>78</v>
      </c>
      <c r="W15">
        <v>74</v>
      </c>
      <c r="X15">
        <v>71</v>
      </c>
      <c r="Z15">
        <v>2</v>
      </c>
      <c r="AA15">
        <v>90</v>
      </c>
      <c r="AB15">
        <v>83</v>
      </c>
      <c r="AC15">
        <v>78</v>
      </c>
      <c r="AD15">
        <v>88</v>
      </c>
      <c r="AE15">
        <v>82</v>
      </c>
      <c r="AF15">
        <v>77</v>
      </c>
      <c r="AG15">
        <v>85</v>
      </c>
      <c r="AH15">
        <v>79</v>
      </c>
      <c r="AI15">
        <v>75</v>
      </c>
      <c r="AJ15">
        <v>82</v>
      </c>
      <c r="AK15">
        <v>77</v>
      </c>
      <c r="AL15">
        <v>73</v>
      </c>
      <c r="AM15">
        <v>78</v>
      </c>
      <c r="AN15">
        <v>75</v>
      </c>
      <c r="AO15">
        <v>71</v>
      </c>
      <c r="AQ15">
        <v>2</v>
      </c>
      <c r="AR15">
        <v>91</v>
      </c>
      <c r="AS15">
        <v>84</v>
      </c>
      <c r="AT15">
        <v>79</v>
      </c>
      <c r="AU15">
        <v>89</v>
      </c>
      <c r="AV15">
        <v>83</v>
      </c>
      <c r="AW15">
        <v>78</v>
      </c>
      <c r="AX15">
        <v>86</v>
      </c>
      <c r="AY15">
        <v>81</v>
      </c>
      <c r="AZ15">
        <v>76</v>
      </c>
      <c r="BA15">
        <v>82</v>
      </c>
      <c r="BB15">
        <v>78</v>
      </c>
      <c r="BC15">
        <v>74</v>
      </c>
      <c r="BD15">
        <v>79</v>
      </c>
      <c r="BE15">
        <v>76</v>
      </c>
      <c r="BF15">
        <v>73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79</v>
      </c>
      <c r="K16">
        <v>71</v>
      </c>
      <c r="L16">
        <v>64</v>
      </c>
      <c r="M16">
        <v>77</v>
      </c>
      <c r="N16">
        <v>70</v>
      </c>
      <c r="O16">
        <v>64</v>
      </c>
      <c r="P16">
        <v>74</v>
      </c>
      <c r="Q16">
        <v>68</v>
      </c>
      <c r="R16">
        <v>62</v>
      </c>
      <c r="S16">
        <v>72</v>
      </c>
      <c r="T16">
        <v>66</v>
      </c>
      <c r="U16">
        <v>61</v>
      </c>
      <c r="V16">
        <v>69</v>
      </c>
      <c r="W16">
        <v>64</v>
      </c>
      <c r="X16">
        <v>60</v>
      </c>
      <c r="Z16">
        <v>3</v>
      </c>
      <c r="AA16">
        <v>79</v>
      </c>
      <c r="AB16">
        <v>71</v>
      </c>
      <c r="AC16">
        <v>64</v>
      </c>
      <c r="AD16">
        <v>78</v>
      </c>
      <c r="AE16">
        <v>70</v>
      </c>
      <c r="AF16">
        <v>64</v>
      </c>
      <c r="AG16">
        <v>75</v>
      </c>
      <c r="AH16">
        <v>68</v>
      </c>
      <c r="AI16">
        <v>63</v>
      </c>
      <c r="AJ16">
        <v>72</v>
      </c>
      <c r="AK16">
        <v>66</v>
      </c>
      <c r="AL16">
        <v>62</v>
      </c>
      <c r="AM16">
        <v>69</v>
      </c>
      <c r="AN16">
        <v>65</v>
      </c>
      <c r="AO16">
        <v>61</v>
      </c>
      <c r="AQ16">
        <v>3</v>
      </c>
      <c r="AR16">
        <v>80</v>
      </c>
      <c r="AS16">
        <v>72</v>
      </c>
      <c r="AT16">
        <v>66</v>
      </c>
      <c r="AU16">
        <v>79</v>
      </c>
      <c r="AV16">
        <v>71</v>
      </c>
      <c r="AW16">
        <v>65</v>
      </c>
      <c r="AX16">
        <v>76</v>
      </c>
      <c r="AY16">
        <v>69</v>
      </c>
      <c r="AZ16">
        <v>64</v>
      </c>
      <c r="BA16">
        <v>73</v>
      </c>
      <c r="BB16">
        <v>67</v>
      </c>
      <c r="BC16">
        <v>63</v>
      </c>
      <c r="BD16">
        <v>70</v>
      </c>
      <c r="BE16">
        <v>66</v>
      </c>
      <c r="BF16">
        <v>62</v>
      </c>
    </row>
    <row r="17" spans="1:63" x14ac:dyDescent="0.25">
      <c r="B17" t="s">
        <v>5</v>
      </c>
      <c r="C17" s="22">
        <v>80</v>
      </c>
      <c r="I17">
        <v>4</v>
      </c>
      <c r="J17">
        <v>70</v>
      </c>
      <c r="K17">
        <v>61</v>
      </c>
      <c r="L17">
        <v>54</v>
      </c>
      <c r="M17">
        <v>69</v>
      </c>
      <c r="N17">
        <v>60</v>
      </c>
      <c r="O17">
        <v>54</v>
      </c>
      <c r="P17">
        <v>66</v>
      </c>
      <c r="Q17">
        <v>59</v>
      </c>
      <c r="R17">
        <v>53</v>
      </c>
      <c r="S17">
        <v>64</v>
      </c>
      <c r="T17">
        <v>57</v>
      </c>
      <c r="U17">
        <v>52</v>
      </c>
      <c r="V17">
        <v>62</v>
      </c>
      <c r="W17">
        <v>56</v>
      </c>
      <c r="X17">
        <v>52</v>
      </c>
      <c r="Z17">
        <v>4</v>
      </c>
      <c r="AA17">
        <v>70</v>
      </c>
      <c r="AB17">
        <v>61</v>
      </c>
      <c r="AC17">
        <v>55</v>
      </c>
      <c r="AD17">
        <v>69</v>
      </c>
      <c r="AE17">
        <v>61</v>
      </c>
      <c r="AF17">
        <v>54</v>
      </c>
      <c r="AG17">
        <v>66</v>
      </c>
      <c r="AH17">
        <v>59</v>
      </c>
      <c r="AI17">
        <v>53</v>
      </c>
      <c r="AJ17">
        <v>64</v>
      </c>
      <c r="AK17">
        <v>58</v>
      </c>
      <c r="AL17">
        <v>53</v>
      </c>
      <c r="AM17">
        <v>62</v>
      </c>
      <c r="AN17">
        <v>56</v>
      </c>
      <c r="AO17">
        <v>52</v>
      </c>
      <c r="AQ17">
        <v>4</v>
      </c>
      <c r="AR17">
        <v>71</v>
      </c>
      <c r="AS17">
        <v>62</v>
      </c>
      <c r="AT17">
        <v>56</v>
      </c>
      <c r="AU17">
        <v>70</v>
      </c>
      <c r="AV17">
        <v>62</v>
      </c>
      <c r="AW17">
        <v>55</v>
      </c>
      <c r="AX17">
        <v>67</v>
      </c>
      <c r="AY17">
        <v>60</v>
      </c>
      <c r="AZ17">
        <v>54</v>
      </c>
      <c r="BA17">
        <v>65</v>
      </c>
      <c r="BB17">
        <v>59</v>
      </c>
      <c r="BC17">
        <v>54</v>
      </c>
      <c r="BD17">
        <v>63</v>
      </c>
      <c r="BE17">
        <v>57</v>
      </c>
      <c r="BF17">
        <v>53</v>
      </c>
    </row>
    <row r="18" spans="1:63" x14ac:dyDescent="0.25">
      <c r="B18" t="s">
        <v>6</v>
      </c>
      <c r="C18" s="22">
        <v>50</v>
      </c>
      <c r="I18">
        <v>5</v>
      </c>
      <c r="J18">
        <v>62</v>
      </c>
      <c r="K18">
        <v>53</v>
      </c>
      <c r="L18">
        <v>47</v>
      </c>
      <c r="M18">
        <v>61</v>
      </c>
      <c r="N18">
        <v>53</v>
      </c>
      <c r="O18">
        <v>46</v>
      </c>
      <c r="P18">
        <v>59</v>
      </c>
      <c r="Q18">
        <v>52</v>
      </c>
      <c r="R18">
        <v>46</v>
      </c>
      <c r="S18">
        <v>57</v>
      </c>
      <c r="T18">
        <v>51</v>
      </c>
      <c r="U18">
        <v>45</v>
      </c>
      <c r="V18">
        <v>55</v>
      </c>
      <c r="W18">
        <v>50</v>
      </c>
      <c r="X18">
        <v>45</v>
      </c>
      <c r="Z18">
        <v>5</v>
      </c>
      <c r="AA18">
        <v>63</v>
      </c>
      <c r="AB18">
        <v>54</v>
      </c>
      <c r="AC18">
        <v>47</v>
      </c>
      <c r="AD18">
        <v>62</v>
      </c>
      <c r="AE18">
        <v>53</v>
      </c>
      <c r="AF18">
        <v>47</v>
      </c>
      <c r="AG18">
        <v>59</v>
      </c>
      <c r="AH18">
        <v>52</v>
      </c>
      <c r="AI18">
        <v>46</v>
      </c>
      <c r="AJ18">
        <v>57</v>
      </c>
      <c r="AK18">
        <v>51</v>
      </c>
      <c r="AL18">
        <v>46</v>
      </c>
      <c r="AM18">
        <v>56</v>
      </c>
      <c r="AN18">
        <v>50</v>
      </c>
      <c r="AO18">
        <v>45</v>
      </c>
      <c r="AQ18">
        <v>5</v>
      </c>
      <c r="AR18">
        <v>63</v>
      </c>
      <c r="AS18">
        <v>55</v>
      </c>
      <c r="AT18">
        <v>48</v>
      </c>
      <c r="AU18">
        <v>62</v>
      </c>
      <c r="AV18">
        <v>54</v>
      </c>
      <c r="AW18">
        <v>48</v>
      </c>
      <c r="AX18">
        <v>60</v>
      </c>
      <c r="AY18">
        <v>53</v>
      </c>
      <c r="AZ18">
        <v>47</v>
      </c>
      <c r="BA18">
        <v>58</v>
      </c>
      <c r="BB18">
        <v>52</v>
      </c>
      <c r="BC18">
        <v>47</v>
      </c>
      <c r="BD18">
        <v>56</v>
      </c>
      <c r="BE18">
        <v>51</v>
      </c>
      <c r="BF18">
        <v>46</v>
      </c>
    </row>
    <row r="19" spans="1:63" x14ac:dyDescent="0.25">
      <c r="B19" t="s">
        <v>7</v>
      </c>
      <c r="C19">
        <v>20</v>
      </c>
      <c r="I19">
        <v>6</v>
      </c>
      <c r="J19">
        <v>56</v>
      </c>
      <c r="K19">
        <v>47</v>
      </c>
      <c r="L19">
        <v>41</v>
      </c>
      <c r="M19">
        <v>55</v>
      </c>
      <c r="N19">
        <v>47</v>
      </c>
      <c r="O19">
        <v>41</v>
      </c>
      <c r="P19">
        <v>53</v>
      </c>
      <c r="Q19">
        <v>46</v>
      </c>
      <c r="R19">
        <v>40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39</v>
      </c>
      <c r="Z19">
        <v>6</v>
      </c>
      <c r="AA19">
        <v>56</v>
      </c>
      <c r="AB19">
        <v>47</v>
      </c>
      <c r="AC19">
        <v>41</v>
      </c>
      <c r="AD19">
        <v>56</v>
      </c>
      <c r="AE19">
        <v>47</v>
      </c>
      <c r="AF19">
        <v>41</v>
      </c>
      <c r="AG19">
        <v>54</v>
      </c>
      <c r="AH19">
        <v>46</v>
      </c>
      <c r="AI19">
        <v>40</v>
      </c>
      <c r="AJ19">
        <v>52</v>
      </c>
      <c r="AK19">
        <v>45</v>
      </c>
      <c r="AL19">
        <v>40</v>
      </c>
      <c r="AM19">
        <v>50</v>
      </c>
      <c r="AN19">
        <v>44</v>
      </c>
      <c r="AO19">
        <v>40</v>
      </c>
      <c r="AQ19">
        <v>6</v>
      </c>
      <c r="AR19">
        <v>57</v>
      </c>
      <c r="AS19">
        <v>48</v>
      </c>
      <c r="AT19">
        <v>42</v>
      </c>
      <c r="AU19">
        <v>56</v>
      </c>
      <c r="AV19">
        <v>48</v>
      </c>
      <c r="AW19">
        <v>42</v>
      </c>
      <c r="AX19">
        <v>54</v>
      </c>
      <c r="AY19">
        <v>47</v>
      </c>
      <c r="AZ19">
        <v>41</v>
      </c>
      <c r="BA19">
        <v>53</v>
      </c>
      <c r="BB19">
        <v>46</v>
      </c>
      <c r="BC19">
        <v>41</v>
      </c>
      <c r="BD19">
        <v>51</v>
      </c>
      <c r="BE19">
        <v>45</v>
      </c>
      <c r="BF19">
        <v>41</v>
      </c>
    </row>
    <row r="20" spans="1:63" x14ac:dyDescent="0.25">
      <c r="I20">
        <v>7</v>
      </c>
      <c r="J20">
        <v>51</v>
      </c>
      <c r="K20">
        <v>42</v>
      </c>
      <c r="L20">
        <v>36</v>
      </c>
      <c r="M20">
        <v>50</v>
      </c>
      <c r="N20">
        <v>42</v>
      </c>
      <c r="O20">
        <v>36</v>
      </c>
      <c r="P20">
        <v>49</v>
      </c>
      <c r="Q20">
        <v>41</v>
      </c>
      <c r="R20">
        <v>36</v>
      </c>
      <c r="S20">
        <v>47</v>
      </c>
      <c r="T20">
        <v>40</v>
      </c>
      <c r="U20">
        <v>35</v>
      </c>
      <c r="V20">
        <v>46</v>
      </c>
      <c r="W20">
        <v>40</v>
      </c>
      <c r="X20">
        <v>35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42</v>
      </c>
      <c r="AF20">
        <v>36</v>
      </c>
      <c r="AG20">
        <v>49</v>
      </c>
      <c r="AH20">
        <v>41</v>
      </c>
      <c r="AI20">
        <v>36</v>
      </c>
      <c r="AJ20">
        <v>47</v>
      </c>
      <c r="AK20">
        <v>41</v>
      </c>
      <c r="AL20">
        <v>36</v>
      </c>
      <c r="AM20">
        <v>46</v>
      </c>
      <c r="AN20">
        <v>40</v>
      </c>
      <c r="AO20">
        <v>35</v>
      </c>
      <c r="AQ20">
        <v>7</v>
      </c>
      <c r="AR20">
        <v>52</v>
      </c>
      <c r="AS20">
        <v>43</v>
      </c>
      <c r="AT20">
        <v>37</v>
      </c>
      <c r="AU20">
        <v>51</v>
      </c>
      <c r="AV20">
        <v>43</v>
      </c>
      <c r="AW20">
        <v>37</v>
      </c>
      <c r="AX20">
        <v>49</v>
      </c>
      <c r="AY20">
        <v>42</v>
      </c>
      <c r="AZ20">
        <v>37</v>
      </c>
      <c r="BA20">
        <v>48</v>
      </c>
      <c r="BB20">
        <v>41</v>
      </c>
      <c r="BC20">
        <v>36</v>
      </c>
      <c r="BD20">
        <v>47</v>
      </c>
      <c r="BE20">
        <v>41</v>
      </c>
      <c r="BF20">
        <v>36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47</v>
      </c>
      <c r="K21">
        <v>38</v>
      </c>
      <c r="L21">
        <v>32</v>
      </c>
      <c r="M21">
        <v>46</v>
      </c>
      <c r="N21">
        <v>38</v>
      </c>
      <c r="O21">
        <v>32</v>
      </c>
      <c r="P21">
        <v>45</v>
      </c>
      <c r="Q21">
        <v>37</v>
      </c>
      <c r="R21">
        <v>32</v>
      </c>
      <c r="S21">
        <v>43</v>
      </c>
      <c r="T21">
        <v>37</v>
      </c>
      <c r="U21">
        <v>32</v>
      </c>
      <c r="V21">
        <v>42</v>
      </c>
      <c r="W21">
        <v>36</v>
      </c>
      <c r="X21">
        <v>31</v>
      </c>
      <c r="Z21">
        <v>8</v>
      </c>
      <c r="AA21">
        <v>47</v>
      </c>
      <c r="AB21">
        <v>38</v>
      </c>
      <c r="AC21">
        <v>32</v>
      </c>
      <c r="AD21">
        <v>46</v>
      </c>
      <c r="AE21">
        <v>38</v>
      </c>
      <c r="AF21">
        <v>32</v>
      </c>
      <c r="AG21">
        <v>45</v>
      </c>
      <c r="AH21">
        <v>37</v>
      </c>
      <c r="AI21">
        <v>32</v>
      </c>
      <c r="AJ21">
        <v>43</v>
      </c>
      <c r="AK21">
        <v>37</v>
      </c>
      <c r="AL21">
        <v>32</v>
      </c>
      <c r="AM21">
        <v>42</v>
      </c>
      <c r="AN21">
        <v>36</v>
      </c>
      <c r="AO21">
        <v>32</v>
      </c>
      <c r="AQ21">
        <v>8</v>
      </c>
      <c r="AR21">
        <v>47</v>
      </c>
      <c r="AS21">
        <v>39</v>
      </c>
      <c r="AT21">
        <v>33</v>
      </c>
      <c r="AU21">
        <v>47</v>
      </c>
      <c r="AV21">
        <v>38</v>
      </c>
      <c r="AW21">
        <v>33</v>
      </c>
      <c r="AX21">
        <v>45</v>
      </c>
      <c r="AY21">
        <v>38</v>
      </c>
      <c r="AZ21">
        <v>33</v>
      </c>
      <c r="BA21">
        <v>44</v>
      </c>
      <c r="BB21">
        <v>37</v>
      </c>
      <c r="BC21">
        <v>32</v>
      </c>
      <c r="BD21">
        <v>43</v>
      </c>
      <c r="BE21">
        <v>37</v>
      </c>
      <c r="BF21">
        <v>32</v>
      </c>
    </row>
    <row r="22" spans="1:63" x14ac:dyDescent="0.25">
      <c r="B22" t="s">
        <v>30</v>
      </c>
      <c r="C22" s="4" t="e">
        <f>VLOOKUP(C21,Model533[],2,0)</f>
        <v>#N/A</v>
      </c>
      <c r="D22" t="s">
        <v>131</v>
      </c>
      <c r="I22">
        <v>9</v>
      </c>
      <c r="J22">
        <v>43</v>
      </c>
      <c r="K22">
        <v>34</v>
      </c>
      <c r="L22">
        <v>29</v>
      </c>
      <c r="M22">
        <v>42</v>
      </c>
      <c r="N22">
        <v>34</v>
      </c>
      <c r="O22">
        <v>29</v>
      </c>
      <c r="P22">
        <v>41</v>
      </c>
      <c r="Q22">
        <v>34</v>
      </c>
      <c r="R22">
        <v>29</v>
      </c>
      <c r="S22">
        <v>40</v>
      </c>
      <c r="T22">
        <v>33</v>
      </c>
      <c r="U22">
        <v>28</v>
      </c>
      <c r="V22">
        <v>39</v>
      </c>
      <c r="W22">
        <v>33</v>
      </c>
      <c r="X22">
        <v>28</v>
      </c>
      <c r="Z22">
        <v>9</v>
      </c>
      <c r="AA22">
        <v>43</v>
      </c>
      <c r="AB22">
        <v>35</v>
      </c>
      <c r="AC22">
        <v>29</v>
      </c>
      <c r="AD22">
        <v>42</v>
      </c>
      <c r="AE22">
        <v>34</v>
      </c>
      <c r="AF22">
        <v>29</v>
      </c>
      <c r="AG22">
        <v>41</v>
      </c>
      <c r="AH22">
        <v>34</v>
      </c>
      <c r="AI22">
        <v>29</v>
      </c>
      <c r="AJ22">
        <v>40</v>
      </c>
      <c r="AK22">
        <v>33</v>
      </c>
      <c r="AL22">
        <v>29</v>
      </c>
      <c r="AM22">
        <v>39</v>
      </c>
      <c r="AN22">
        <v>33</v>
      </c>
      <c r="AO22">
        <v>29</v>
      </c>
      <c r="AQ22">
        <v>9</v>
      </c>
      <c r="AR22">
        <v>43</v>
      </c>
      <c r="AS22">
        <v>35</v>
      </c>
      <c r="AT22">
        <v>30</v>
      </c>
      <c r="AU22">
        <v>43</v>
      </c>
      <c r="AV22">
        <v>35</v>
      </c>
      <c r="AW22">
        <v>30</v>
      </c>
      <c r="AX22">
        <v>42</v>
      </c>
      <c r="AY22">
        <v>34</v>
      </c>
      <c r="AZ22">
        <v>29</v>
      </c>
      <c r="BA22">
        <v>41</v>
      </c>
      <c r="BB22">
        <v>34</v>
      </c>
      <c r="BC22">
        <v>29</v>
      </c>
      <c r="BD22">
        <v>40</v>
      </c>
      <c r="BE22">
        <v>33</v>
      </c>
      <c r="BF22">
        <v>29</v>
      </c>
    </row>
    <row r="23" spans="1:63" x14ac:dyDescent="0.25">
      <c r="B23" t="s">
        <v>31</v>
      </c>
      <c r="C23" t="e">
        <f>VLOOKUP(C21,Model533[],3,FALSE)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39</v>
      </c>
      <c r="N23">
        <v>31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30</v>
      </c>
      <c r="U23">
        <v>26</v>
      </c>
      <c r="V23">
        <v>36</v>
      </c>
      <c r="W23">
        <v>30</v>
      </c>
      <c r="X23">
        <v>26</v>
      </c>
      <c r="Z23">
        <v>10</v>
      </c>
      <c r="AA23">
        <v>40</v>
      </c>
      <c r="AB23">
        <v>32</v>
      </c>
      <c r="AC23">
        <v>26</v>
      </c>
      <c r="AD23">
        <v>39</v>
      </c>
      <c r="AE23">
        <v>31</v>
      </c>
      <c r="AF23">
        <v>26</v>
      </c>
      <c r="AG23">
        <v>38</v>
      </c>
      <c r="AH23">
        <v>31</v>
      </c>
      <c r="AI23">
        <v>26</v>
      </c>
      <c r="AJ23">
        <v>37</v>
      </c>
      <c r="AK23">
        <v>31</v>
      </c>
      <c r="AL23">
        <v>26</v>
      </c>
      <c r="AM23">
        <v>36</v>
      </c>
      <c r="AN23">
        <v>30</v>
      </c>
      <c r="AO23">
        <v>26</v>
      </c>
      <c r="AQ23">
        <v>10</v>
      </c>
      <c r="AR23">
        <v>40</v>
      </c>
      <c r="AS23">
        <v>32</v>
      </c>
      <c r="AT23">
        <v>27</v>
      </c>
      <c r="AU23">
        <v>39</v>
      </c>
      <c r="AV23">
        <v>32</v>
      </c>
      <c r="AW23">
        <v>27</v>
      </c>
      <c r="AX23">
        <v>38</v>
      </c>
      <c r="AY23">
        <v>31</v>
      </c>
      <c r="AZ23">
        <v>27</v>
      </c>
      <c r="BA23">
        <v>38</v>
      </c>
      <c r="BB23">
        <v>31</v>
      </c>
      <c r="BC23">
        <v>27</v>
      </c>
      <c r="BD23">
        <v>37</v>
      </c>
      <c r="BE23">
        <v>31</v>
      </c>
      <c r="BF23">
        <v>26</v>
      </c>
    </row>
    <row r="24" spans="1:63" x14ac:dyDescent="0.25">
      <c r="B24" t="s">
        <v>3</v>
      </c>
      <c r="C24" s="11" t="e">
        <f t="array" ref="C24">INDEX(CUtable432[],MATCH(1,(CUtable432[RC]=C17)*(CUtable432[RW]=C18)*(CUtable432[Size]=E21),0),4)</f>
        <v>#DIV/0!</v>
      </c>
      <c r="H24" s="5"/>
    </row>
    <row r="25" spans="1:63" x14ac:dyDescent="0.25">
      <c r="B25" t="s">
        <v>133</v>
      </c>
      <c r="C25" s="11">
        <f>VLOOKUP(E21,Table8121737[],2,FALSE)</f>
        <v>1.26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</row>
    <row r="26" spans="1:63" x14ac:dyDescent="0.25">
      <c r="B26" t="s">
        <v>134</v>
      </c>
      <c r="C26" s="11">
        <f>VLOOKUP(E21,Table8121737[],3,FALSE)</f>
        <v>1.3</v>
      </c>
      <c r="H26" s="5"/>
      <c r="I26" t="s">
        <v>218</v>
      </c>
      <c r="J26">
        <f>INDEX(LINEST(Table2x431[CU],Table2x431[RCR]^{1,2,3}),1)</f>
        <v>-4.9339549339549676E-2</v>
      </c>
      <c r="K26">
        <f>INDEX(LINEST(Table2x431[CU1],Table2x431[RCR]^{1,2,3}),1)</f>
        <v>-7.7117327117327647E-2</v>
      </c>
      <c r="L26">
        <f>INDEX(LINEST(Table2x431[CU2],Table2x431[RCR]^{1,2,3}),1)</f>
        <v>-0.11227661227661243</v>
      </c>
      <c r="M26">
        <f>INDEX(LINEST(Table2x431[CU3],Table2x431[RCR]^{1,2,3}),1)</f>
        <v>-4.1763791763792128E-2</v>
      </c>
      <c r="N26">
        <f>INDEX(LINEST(Table2x431[CU4],Table2x431[RCR]^{1,2,3}),1)</f>
        <v>-7.3426573426574063E-2</v>
      </c>
      <c r="O26">
        <f>INDEX(LINEST(Table2x431[CU5],Table2x431[RCR]^{1,2,3}),1)</f>
        <v>-0.10023310023310081</v>
      </c>
      <c r="P26">
        <f>INDEX(LINEST(Table2x431[CU6],Table2x431[RCR]^{1,2,3}),1)</f>
        <v>-4.2152292152292679E-2</v>
      </c>
      <c r="Q26">
        <f>INDEX(LINEST(Table2x431[CU7],Table2x431[RCR]^{1,2,3}),1)</f>
        <v>-6.0800310800311223E-2</v>
      </c>
      <c r="R26">
        <f>INDEX(LINEST(Table2x431[CU8],Table2x431[RCR]^{1,2,3}),1)</f>
        <v>-8.780108780108821E-2</v>
      </c>
      <c r="S26">
        <f>INDEX(LINEST(Table2x431[CU9],Table2x431[RCR]^{1,2,3}),1)</f>
        <v>-3.3605283605283837E-2</v>
      </c>
      <c r="T26">
        <f>INDEX(LINEST(Table2x431[CU10],Table2x431[RCR]^{1,2,3}),1)</f>
        <v>-5.6721056721057157E-2</v>
      </c>
      <c r="U26">
        <f>INDEX(LINEST(Table2x431[CU11],Table2x431[RCR]^{1,2,3}),1)</f>
        <v>-7.2261072261072756E-2</v>
      </c>
      <c r="V26">
        <f>INDEX(LINEST(Table2x431[CU12],Table2x431[RCR]^{1,2,3}),1)</f>
        <v>-3.7101787101787374E-2</v>
      </c>
      <c r="W26">
        <f>INDEX(LINEST(Table2x431[CU13],Table2x431[RCR]^{1,2,3}),1)</f>
        <v>-5.4390054390054884E-2</v>
      </c>
      <c r="X26">
        <f>INDEX(LINEST(Table2x431[CU14],Table2x431[RCR]^{1,2,3}),1)</f>
        <v>-5.846930846930868E-2</v>
      </c>
      <c r="Z26" t="s">
        <v>218</v>
      </c>
      <c r="AA26">
        <f>INDEX(LINEST(Table2x238[CU],Table2x238[RCR]^{1,2,3}),1)</f>
        <v>-4.2346542346542997E-2</v>
      </c>
      <c r="AB26">
        <f>INDEX(LINEST(Table2x238[CU1],Table2x238[RCR]^{1,2,3}),1)</f>
        <v>-7.2455322455322935E-2</v>
      </c>
      <c r="AC26">
        <f>INDEX(LINEST(Table2x238[CU2],Table2x238[RCR]^{1,2,3}),1)</f>
        <v>-0.10528360528360553</v>
      </c>
      <c r="AD26">
        <f>INDEX(LINEST(Table2x238[CU3],Table2x238[RCR]^{1,2,3}),1)</f>
        <v>-4.0015540015540516E-2</v>
      </c>
      <c r="AE26">
        <f>INDEX(LINEST(Table2x238[CU4],Table2x238[RCR]^{1,2,3}),1)</f>
        <v>-7.0707070707071037E-2</v>
      </c>
      <c r="AF26">
        <f>INDEX(LINEST(Table2x238[CU5],Table2x238[RCR]^{1,2,3}),1)</f>
        <v>-9.5959595959596231E-2</v>
      </c>
      <c r="AG26">
        <f>INDEX(LINEST(Table2x238[CU6],Table2x238[RCR]^{1,2,3}),1)</f>
        <v>-4.0404040404040699E-2</v>
      </c>
      <c r="AH26">
        <f>INDEX(LINEST(Table2x238[CU7],Table2x238[RCR]^{1,2,3}),1)</f>
        <v>-6.0800310800311223E-2</v>
      </c>
      <c r="AI26">
        <f>INDEX(LINEST(Table2x238[CU8],Table2x238[RCR]^{1,2,3}),1)</f>
        <v>-8.3333333333333662E-2</v>
      </c>
      <c r="AJ26">
        <f>INDEX(LINEST(Table2x238[CU9],Table2x238[RCR]^{1,2,3}),1)</f>
        <v>-2.9331779331779547E-2</v>
      </c>
      <c r="AK26">
        <f>INDEX(LINEST(Table2x238[CU10],Table2x238[RCR]^{1,2,3}),1)</f>
        <v>-5.1476301476301806E-2</v>
      </c>
      <c r="AL26">
        <f>INDEX(LINEST(Table2x238[CU11],Table2x238[RCR]^{1,2,3}),1)</f>
        <v>-7.0707070707070954E-2</v>
      </c>
      <c r="AM26">
        <f>INDEX(LINEST(Table2x238[CU12],Table2x238[RCR]^{1,2,3}),1)</f>
        <v>-3.5936285936286214E-2</v>
      </c>
      <c r="AN26">
        <f>INDEX(LINEST(Table2x238[CU13],Table2x238[RCR]^{1,2,3}),1)</f>
        <v>-4.5648795648795905E-2</v>
      </c>
      <c r="AO26">
        <f>INDEX(LINEST(Table2x238[CU14],Table2x238[RCR]^{1,2,3}),1)</f>
        <v>-6.2160062160062174E-2</v>
      </c>
      <c r="AQ26" t="s">
        <v>218</v>
      </c>
      <c r="AR26">
        <f>INDEX(LINEST(Table1x440[CU],Table1x440[RCR]^{1,2,3}),1)</f>
        <v>-3.8073038073038301E-2</v>
      </c>
      <c r="AS26">
        <f>INDEX(LINEST(Table1x440[CU1],Table1x440[RCR]^{1,2,3}),1)</f>
        <v>-7.1289821289821781E-2</v>
      </c>
      <c r="AT26">
        <f>INDEX(LINEST(Table1x440[CU2],Table1x440[RCR]^{1,2,3}),1)</f>
        <v>-9.3822843822844268E-2</v>
      </c>
      <c r="AU26">
        <f>INDEX(LINEST(Table1x440[CU3],Table1x440[RCR]^{1,2,3}),1)</f>
        <v>-3.72960372960374E-2</v>
      </c>
      <c r="AV26">
        <f>INDEX(LINEST(Table1x440[CU4],Table1x440[RCR]^{1,2,3}),1)</f>
        <v>-6.0606060606061121E-2</v>
      </c>
      <c r="AW26">
        <f>INDEX(LINEST(Table1x440[CU5],Table1x440[RCR]^{1,2,3}),1)</f>
        <v>-9.0132090132090559E-2</v>
      </c>
      <c r="AX26">
        <f>INDEX(LINEST(Table1x440[CU6],Table1x440[RCR]^{1,2,3}),1)</f>
        <v>-2.8943278943279038E-2</v>
      </c>
      <c r="AY26">
        <f>INDEX(LINEST(Table1x440[CU7],Table1x440[RCR]^{1,2,3}),1)</f>
        <v>-5.5361305361305457E-2</v>
      </c>
      <c r="AZ26">
        <f>INDEX(LINEST(Table1x440[CU8],Table1x440[RCR]^{1,2,3}),1)</f>
        <v>-7.6340326340326545E-2</v>
      </c>
      <c r="BA26">
        <f>INDEX(LINEST(Table1x440[CU9],Table1x440[RCR]^{1,2,3}),1)</f>
        <v>-2.7777777777778102E-2</v>
      </c>
      <c r="BB26">
        <f>INDEX(LINEST(Table1x440[CU10],Table1x440[RCR]^{1,2,3}),1)</f>
        <v>-4.390054390054407E-2</v>
      </c>
      <c r="BC26">
        <f>INDEX(LINEST(Table1x440[CU11],Table1x440[RCR]^{1,2,3}),1)</f>
        <v>-5.4972804972805267E-2</v>
      </c>
      <c r="BD26">
        <f>INDEX(LINEST(Table1x440[CU12],Table1x440[RCR]^{1,2,3}),1)</f>
        <v>-3.1274281274281585E-2</v>
      </c>
      <c r="BE26">
        <f>INDEX(LINEST(Table1x440[CU13],Table1x440[RCR]^{1,2,3}),1)</f>
        <v>-3.8655788655788961E-2</v>
      </c>
      <c r="BF26">
        <f>INDEX(LINEST(Table1x440[CU14],Table1x440[RCR]^{1,2,3}),1)</f>
        <v>-5.2447552447552781E-2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INDEX(LINEST(Table2x431[CU],Table2x431[RCR]^{1,2,3}),1,2)</f>
        <v>1.4102564102564146</v>
      </c>
      <c r="K27">
        <f>INDEX(LINEST(Table2x431[CU1],Table2x431[RCR]^{1,2,3}),1,2)</f>
        <v>2.0273892773892843</v>
      </c>
      <c r="L27">
        <f>INDEX(LINEST(Table2x431[CU2],Table2x431[RCR]^{1,2,3}),1,2)</f>
        <v>2.7156177156177161</v>
      </c>
      <c r="M27">
        <f>INDEX(LINEST(Table2x431[CU3],Table2x431[RCR]^{1,2,3}),1,2)</f>
        <v>1.2803030303030358</v>
      </c>
      <c r="N27">
        <f>INDEX(LINEST(Table2x431[CU4],Table2x431[RCR]^{1,2,3}),1,2)</f>
        <v>1.9242424242424336</v>
      </c>
      <c r="O27">
        <f>INDEX(LINEST(Table2x431[CU5],Table2x431[RCR]^{1,2,3}),1,2)</f>
        <v>2.4883449883449962</v>
      </c>
      <c r="P27">
        <f>INDEX(LINEST(Table2x431[CU6],Table2x431[RCR]^{1,2,3}),1,2)</f>
        <v>1.2546620046620127</v>
      </c>
      <c r="Q27">
        <f>INDEX(LINEST(Table2x431[CU7],Table2x431[RCR]^{1,2,3}),1,2)</f>
        <v>1.6847319347319412</v>
      </c>
      <c r="R27">
        <f>INDEX(LINEST(Table2x431[CU8],Table2x431[RCR]^{1,2,3}),1,2)</f>
        <v>2.2296037296037352</v>
      </c>
      <c r="S27">
        <f>INDEX(LINEST(Table2x431[CU9],Table2x431[RCR]^{1,2,3}),1,2)</f>
        <v>1.0763403263403297</v>
      </c>
      <c r="T27">
        <f>INDEX(LINEST(Table2x431[CU10],Table2x431[RCR]^{1,2,3}),1,2)</f>
        <v>1.5501165501165566</v>
      </c>
      <c r="U27">
        <f>INDEX(LINEST(Table2x431[CU11],Table2x431[RCR]^{1,2,3}),1,2)</f>
        <v>1.9195804195804262</v>
      </c>
      <c r="V27">
        <f>INDEX(LINEST(Table2x431[CU12],Table2x431[RCR]^{1,2,3}),1,2)</f>
        <v>1.1043123543123585</v>
      </c>
      <c r="W27">
        <f>INDEX(LINEST(Table2x431[CU13],Table2x431[RCR]^{1,2,3}),1,2)</f>
        <v>1.4755244755244821</v>
      </c>
      <c r="X27">
        <f>INDEX(LINEST(Table2x431[CU14],Table2x431[RCR]^{1,2,3}),1,2)</f>
        <v>1.6427738927738949</v>
      </c>
      <c r="Z27" t="s">
        <v>219</v>
      </c>
      <c r="AA27">
        <f>INDEX(LINEST(Table2x238[CU],Table2x238[RCR]^{1,2,3}),1,2)</f>
        <v>1.3181818181818279</v>
      </c>
      <c r="AB27">
        <f>INDEX(LINEST(Table2x238[CU1],Table2x238[RCR]^{1,2,3}),1,2)</f>
        <v>1.9702797202797266</v>
      </c>
      <c r="AC27">
        <f>INDEX(LINEST(Table2x238[CU2],Table2x238[RCR]^{1,2,3}),1,2)</f>
        <v>2.5990675990676015</v>
      </c>
      <c r="AD27">
        <f>INDEX(LINEST(Table2x238[CU3],Table2x238[RCR]^{1,2,3}),1,2)</f>
        <v>1.2249417249417325</v>
      </c>
      <c r="AE27">
        <f>INDEX(LINEST(Table2x238[CU4],Table2x238[RCR]^{1,2,3}),1,2)</f>
        <v>1.8729603729603772</v>
      </c>
      <c r="AF27">
        <f>INDEX(LINEST(Table2x238[CU5],Table2x238[RCR]^{1,2,3}),1,2)</f>
        <v>2.4114219114219146</v>
      </c>
      <c r="AG27">
        <f>INDEX(LINEST(Table2x238[CU6],Table2x238[RCR]^{1,2,3}),1,2)</f>
        <v>1.2109557109557152</v>
      </c>
      <c r="AH27">
        <f>INDEX(LINEST(Table2x238[CU7],Table2x238[RCR]^{1,2,3}),1,2)</f>
        <v>1.6847319347319412</v>
      </c>
      <c r="AI27">
        <f>INDEX(LINEST(Table2x238[CU8],Table2x238[RCR]^{1,2,3}),1,2)</f>
        <v>2.1555944055944094</v>
      </c>
      <c r="AJ27">
        <f>INDEX(LINEST(Table2x238[CU9],Table2x238[RCR]^{1,2,3}),1,2)</f>
        <v>1.0110722610722638</v>
      </c>
      <c r="AK27">
        <f>INDEX(LINEST(Table2x238[CU10],Table2x238[RCR]^{1,2,3}),1,2)</f>
        <v>1.4784382284382334</v>
      </c>
      <c r="AL27">
        <f>INDEX(LINEST(Table2x238[CU11],Table2x238[RCR]^{1,2,3}),1,2)</f>
        <v>1.86713286713287</v>
      </c>
      <c r="AM27">
        <f>INDEX(LINEST(Table2x238[CU12],Table2x238[RCR]^{1,2,3}),1,2)</f>
        <v>1.0821678321678359</v>
      </c>
      <c r="AN27">
        <f>INDEX(LINEST(Table2x238[CU13],Table2x238[RCR]^{1,2,3}),1,2)</f>
        <v>1.3362470862470894</v>
      </c>
      <c r="AO27">
        <f>INDEX(LINEST(Table2x238[CU14],Table2x238[RCR]^{1,2,3}),1,2)</f>
        <v>1.6864801864801862</v>
      </c>
      <c r="AQ27" t="s">
        <v>219</v>
      </c>
      <c r="AR27">
        <f>INDEX(LINEST(Table1x440[CU],Table1x440[RCR]^{1,2,3}),1,2)</f>
        <v>1.2179487179487198</v>
      </c>
      <c r="AS27">
        <f>INDEX(LINEST(Table1x440[CU1],Table1x440[RCR]^{1,2,3}),1,2)</f>
        <v>1.9108391608391677</v>
      </c>
      <c r="AT27">
        <f>INDEX(LINEST(Table1x440[CU2],Table1x440[RCR]^{1,2,3}),1,2)</f>
        <v>2.4096736596736665</v>
      </c>
      <c r="AU27">
        <f>INDEX(LINEST(Table1x440[CU3],Table1x440[RCR]^{1,2,3}),1,2)</f>
        <v>1.1713286713286721</v>
      </c>
      <c r="AV27">
        <f>INDEX(LINEST(Table1x440[CU4],Table1x440[RCR]^{1,2,3}),1,2)</f>
        <v>1.7051282051282128</v>
      </c>
      <c r="AW27">
        <f>INDEX(LINEST(Table1x440[CU5],Table1x440[RCR]^{1,2,3}),1,2)</f>
        <v>2.3065268065268132</v>
      </c>
      <c r="AX27">
        <f>INDEX(LINEST(Table1x440[CU6],Table1x440[RCR]^{1,2,3}),1,2)</f>
        <v>1.0227272727272736</v>
      </c>
      <c r="AY27">
        <f>INDEX(LINEST(Table1x440[CU7],Table1x440[RCR]^{1,2,3}),1,2)</f>
        <v>1.5600233100233101</v>
      </c>
      <c r="AZ27">
        <f>INDEX(LINEST(Table1x440[CU8],Table1x440[RCR]^{1,2,3}),1,2)</f>
        <v>2.026223776223778</v>
      </c>
      <c r="BA27">
        <f>INDEX(LINEST(Table1x440[CU9],Table1x440[RCR]^{1,2,3}),1,2)</f>
        <v>0.97144522144522616</v>
      </c>
      <c r="BB27">
        <f>INDEX(LINEST(Table1x440[CU10],Table1x440[RCR]^{1,2,3}),1,2)</f>
        <v>1.3310023310023333</v>
      </c>
      <c r="BC27">
        <f>INDEX(LINEST(Table1x440[CU11],Table1x440[RCR]^{1,2,3}),1,2)</f>
        <v>1.6148018648018685</v>
      </c>
      <c r="BD27">
        <f>INDEX(LINEST(Table1x440[CU12],Table1x440[RCR]^{1,2,3}),1,2)</f>
        <v>0.99941724941725407</v>
      </c>
      <c r="BE27">
        <f>INDEX(LINEST(Table1x440[CU13],Table1x440[RCR]^{1,2,3}),1,2)</f>
        <v>1.2068764568764607</v>
      </c>
      <c r="BF27">
        <f>INDEX(LINEST(Table1x440[CU14],Table1x440[RCR]^{1,2,3}),1,2)</f>
        <v>1.4988344988345033</v>
      </c>
    </row>
    <row r="28" spans="1:63" x14ac:dyDescent="0.25">
      <c r="C28" s="3"/>
      <c r="H28" s="5"/>
      <c r="I28" t="s">
        <v>220</v>
      </c>
      <c r="J28">
        <f t="array" ref="J28">INDEX(LINEST(Table2x431[CU],Table2x431[RCR]^{1,2,3}),1,3)</f>
        <v>-17.15112665112666</v>
      </c>
      <c r="K28">
        <f>INDEX(LINEST(Table2x431[CU1],Table2x431[RCR]^{1,2,3}),1,3)</f>
        <v>-21.362859362859382</v>
      </c>
      <c r="L28">
        <f>INDEX(LINEST(Table2x431[CU2],Table2x431[RCR]^{1,2,3}),1,3)</f>
        <v>-25.218725718725707</v>
      </c>
      <c r="M28">
        <f>INDEX(LINEST(Table2x431[CU3],Table2x431[RCR]^{1,2,3}),1,3)</f>
        <v>-16.336441336441357</v>
      </c>
      <c r="N28">
        <f>INDEX(LINEST(Table2x431[CU4],Table2x431[RCR]^{1,2,3}),1,3)</f>
        <v>-20.410256410256444</v>
      </c>
      <c r="O28">
        <f>INDEX(LINEST(Table2x431[CU5],Table2x431[RCR]^{1,2,3}),1,3)</f>
        <v>-23.863636363636388</v>
      </c>
      <c r="P28">
        <f>INDEX(LINEST(Table2x431[CU6],Table2x431[RCR]^{1,2,3}),1,3)</f>
        <v>-15.653069153069183</v>
      </c>
      <c r="Q28">
        <f>INDEX(LINEST(Table2x431[CU7],Table2x431[RCR]^{1,2,3}),1,3)</f>
        <v>-18.7777777777778</v>
      </c>
      <c r="R28">
        <f>INDEX(LINEST(Table2x431[CU8],Table2x431[RCR]^{1,2,3}),1,3)</f>
        <v>-22.029914529914546</v>
      </c>
      <c r="S28">
        <f>INDEX(LINEST(Table2x431[CU9],Table2x431[RCR]^{1,2,3}),1,3)</f>
        <v>-14.308469308469318</v>
      </c>
      <c r="T28">
        <f>INDEX(LINEST(Table2x431[CU10],Table2x431[RCR]^{1,2,3}),1,3)</f>
        <v>-17.437451437451458</v>
      </c>
      <c r="U28">
        <f>INDEX(LINEST(Table2x431[CU11],Table2x431[RCR]^{1,2,3}),1,3)</f>
        <v>-20.008158508158527</v>
      </c>
      <c r="V28">
        <f>INDEX(LINEST(Table2x431[CU12],Table2x431[RCR]^{1,2,3}),1,3)</f>
        <v>-13.927350427350442</v>
      </c>
      <c r="W28">
        <f>INDEX(LINEST(Table2x431[CU13],Table2x431[RCR]^{1,2,3}),1,3)</f>
        <v>-16.526029526029543</v>
      </c>
      <c r="X28">
        <f>INDEX(LINEST(Table2x431[CU14],Table2x431[RCR]^{1,2,3}),1,3)</f>
        <v>-18.192696192696193</v>
      </c>
      <c r="Z28" t="s">
        <v>220</v>
      </c>
      <c r="AA28">
        <f>INDEX(LINEST(Table2x238[CU],Table2x238[RCR]^{1,2,3}),1,3)</f>
        <v>-16.870240870240906</v>
      </c>
      <c r="AB28">
        <f>INDEX(LINEST(Table2x238[CU1],Table2x238[RCR]^{1,2,3}),1,3)</f>
        <v>-21.142579642579662</v>
      </c>
      <c r="AC28">
        <f>INDEX(LINEST(Table2x238[CU2],Table2x238[RCR]^{1,2,3}),1,3)</f>
        <v>-24.738539238539236</v>
      </c>
      <c r="AD28">
        <f>INDEX(LINEST(Table2x238[CU3],Table2x238[RCR]^{1,2,3}),1,3)</f>
        <v>-15.95415695415698</v>
      </c>
      <c r="AE28">
        <f>INDEX(LINEST(Table2x238[CU4],Table2x238[RCR]^{1,2,3}),1,3)</f>
        <v>-20.158896658896669</v>
      </c>
      <c r="AF28">
        <f>INDEX(LINEST(Table2x238[CU5],Table2x238[RCR]^{1,2,3}),1,3)</f>
        <v>-23.518259518259519</v>
      </c>
      <c r="AG28">
        <f>INDEX(LINEST(Table2x238[CU6],Table2x238[RCR]^{1,2,3}),1,3)</f>
        <v>-15.387334887334902</v>
      </c>
      <c r="AH28">
        <f>INDEX(LINEST(Table2x238[CU7],Table2x238[RCR]^{1,2,3}),1,3)</f>
        <v>-18.7777777777778</v>
      </c>
      <c r="AI28">
        <f>INDEX(LINEST(Table2x238[CU8],Table2x238[RCR]^{1,2,3}),1,3)</f>
        <v>-21.722610722610728</v>
      </c>
      <c r="AJ28">
        <f>INDEX(LINEST(Table2x238[CU9],Table2x238[RCR]^{1,2,3}),1,3)</f>
        <v>-14.079642579642584</v>
      </c>
      <c r="AK28">
        <f>INDEX(LINEST(Table2x238[CU10],Table2x238[RCR]^{1,2,3}),1,3)</f>
        <v>-17.189199689199704</v>
      </c>
      <c r="AL28">
        <f>INDEX(LINEST(Table2x238[CU11],Table2x238[RCR]^{1,2,3}),1,3)</f>
        <v>-19.600621600621601</v>
      </c>
      <c r="AM28">
        <f>INDEX(LINEST(Table2x238[CU12],Table2x238[RCR]^{1,2,3}),1,3)</f>
        <v>-13.85042735042736</v>
      </c>
      <c r="AN28">
        <f>INDEX(LINEST(Table2x238[CU13],Table2x238[RCR]^{1,2,3}),1,3)</f>
        <v>-15.989898989898995</v>
      </c>
      <c r="AO28">
        <f>INDEX(LINEST(Table2x238[CU14],Table2x238[RCR]^{1,2,3}),1,3)</f>
        <v>-18.232711732711724</v>
      </c>
      <c r="AQ28" t="s">
        <v>220</v>
      </c>
      <c r="AR28">
        <f>INDEX(LINEST(Table1x440[CU],Table1x440[RCR]^{1,2,3}),1,3)</f>
        <v>-16.291763791763788</v>
      </c>
      <c r="AS28">
        <f>INDEX(LINEST(Table1x440[CU1],Table1x440[RCR]^{1,2,3}),1,3)</f>
        <v>-20.692696192696214</v>
      </c>
      <c r="AT28">
        <f>INDEX(LINEST(Table1x440[CU2],Table1x440[RCR]^{1,2,3}),1,3)</f>
        <v>-23.91724941724944</v>
      </c>
      <c r="AU28">
        <f>INDEX(LINEST(Table1x440[CU3],Table1x440[RCR]^{1,2,3}),1,3)</f>
        <v>-15.679487179487174</v>
      </c>
      <c r="AV28">
        <f>INDEX(LINEST(Table1x440[CU4],Table1x440[RCR]^{1,2,3}),1,3)</f>
        <v>-19.399766899766927</v>
      </c>
      <c r="AW28">
        <f>INDEX(LINEST(Table1x440[CU5],Table1x440[RCR]^{1,2,3}),1,3)</f>
        <v>-22.964646464646489</v>
      </c>
      <c r="AX28">
        <f>INDEX(LINEST(Table1x440[CU6],Table1x440[RCR]^{1,2,3}),1,3)</f>
        <v>-14.623154623154621</v>
      </c>
      <c r="AY28">
        <f>INDEX(LINEST(Table1x440[CU7],Table1x440[RCR]^{1,2,3}),1,3)</f>
        <v>-18.099067599067588</v>
      </c>
      <c r="AZ28">
        <f>INDEX(LINEST(Table1x440[CU8],Table1x440[RCR]^{1,2,3}),1,3)</f>
        <v>-21.068764568764564</v>
      </c>
      <c r="BA28">
        <f>INDEX(LINEST(Table1x440[CU9],Table1x440[RCR]^{1,2,3}),1,3)</f>
        <v>-13.75485625485627</v>
      </c>
      <c r="BB28">
        <f>INDEX(LINEST(Table1x440[CU10],Table1x440[RCR]^{1,2,3}),1,3)</f>
        <v>-16.42696192696193</v>
      </c>
      <c r="BC28">
        <f>INDEX(LINEST(Table1x440[CU11],Table1x440[RCR]^{1,2,3}),1,3)</f>
        <v>-18.57381507381508</v>
      </c>
      <c r="BD28">
        <f>INDEX(LINEST(Table1x440[CU12],Table1x440[RCR]^{1,2,3}),1,3)</f>
        <v>-13.373737373737391</v>
      </c>
      <c r="BE28">
        <f>INDEX(LINEST(Table1x440[CU13],Table1x440[RCR]^{1,2,3}),1,3)</f>
        <v>-15.336052836052847</v>
      </c>
      <c r="BF28">
        <f>INDEX(LINEST(Table1x440[CU14],Table1x440[RCR]^{1,2,3}),1,3)</f>
        <v>-17.348484848484862</v>
      </c>
    </row>
    <row r="29" spans="1:63" x14ac:dyDescent="0.25">
      <c r="C29" s="3"/>
      <c r="H29" s="5"/>
      <c r="I29" t="s">
        <v>221</v>
      </c>
      <c r="J29">
        <f>INDEX(LINEST(Table2x431[CU],Table2x431[RCR]^{1,2,3}),1,4)</f>
        <v>118.96503496503496</v>
      </c>
      <c r="K29">
        <f>INDEX(LINEST(Table2x431[CU1],Table2x431[RCR]^{1,2,3}),1,4)</f>
        <v>118.69930069930069</v>
      </c>
      <c r="L29">
        <f>INDEX(LINEST(Table2x431[CU2],Table2x431[RCR]^{1,2,3}),1,4)</f>
        <v>118.28671328671325</v>
      </c>
      <c r="M29">
        <f>INDEX(LINEST(Table2x431[CU3],Table2x431[RCR]^{1,2,3}),1,4)</f>
        <v>115.99300699300701</v>
      </c>
      <c r="N29">
        <f>INDEX(LINEST(Table2x431[CU4],Table2x431[RCR]^{1,2,3}),1,4)</f>
        <v>115.80419580419581</v>
      </c>
      <c r="O29">
        <f>INDEX(LINEST(Table2x431[CU5],Table2x431[RCR]^{1,2,3}),1,4)</f>
        <v>115.60839160839163</v>
      </c>
      <c r="P29">
        <f>INDEX(LINEST(Table2x431[CU6],Table2x431[RCR]^{1,2,3}),1,4)</f>
        <v>111.21678321678321</v>
      </c>
      <c r="Q29">
        <f>INDEX(LINEST(Table2x431[CU7],Table2x431[RCR]^{1,2,3}),1,4)</f>
        <v>110.91608391608392</v>
      </c>
      <c r="R29">
        <f>INDEX(LINEST(Table2x431[CU8],Table2x431[RCR]^{1,2,3}),1,4)</f>
        <v>110.89510489510491</v>
      </c>
      <c r="S29">
        <f>INDEX(LINEST(Table2x431[CU9],Table2x431[RCR]^{1,2,3}),1,4)</f>
        <v>106.02097902097901</v>
      </c>
      <c r="T29">
        <f>INDEX(LINEST(Table2x431[CU10],Table2x431[RCR]^{1,2,3}),1,4)</f>
        <v>105.98601398601399</v>
      </c>
      <c r="U29">
        <f>INDEX(LINEST(Table2x431[CU11],Table2x431[RCR]^{1,2,3}),1,4)</f>
        <v>106</v>
      </c>
      <c r="V29">
        <f>INDEX(LINEST(Table2x431[CU12],Table2x431[RCR]^{1,2,3}),1,4)</f>
        <v>101.91608391608392</v>
      </c>
      <c r="W29">
        <f>INDEX(LINEST(Table2x431[CU13],Table2x431[RCR]^{1,2,3}),1,4)</f>
        <v>101.94405594405595</v>
      </c>
      <c r="X29">
        <f>INDEX(LINEST(Table2x431[CU14],Table2x431[RCR]^{1,2,3}),1,4)</f>
        <v>101.72727272727271</v>
      </c>
      <c r="Z29" t="s">
        <v>221</v>
      </c>
      <c r="AA29">
        <f>INDEX(LINEST(Table2x238[CU],Table2x238[RCR]^{1,2,3}),1,4)</f>
        <v>119.13286713286716</v>
      </c>
      <c r="AB29">
        <f>INDEX(LINEST(Table2x238[CU1],Table2x238[RCR]^{1,2,3}),1,4)</f>
        <v>118.58741258741259</v>
      </c>
      <c r="AC29">
        <f>INDEX(LINEST(Table2x238[CU2],Table2x238[RCR]^{1,2,3}),1,4)</f>
        <v>118.2237762237762</v>
      </c>
      <c r="AD29">
        <f>INDEX(LINEST(Table2x238[CU3],Table2x238[RCR]^{1,2,3}),1,4)</f>
        <v>115.81118881118881</v>
      </c>
      <c r="AE29">
        <f>INDEX(LINEST(Table2x238[CU4],Table2x238[RCR]^{1,2,3}),1,4)</f>
        <v>115.68531468531467</v>
      </c>
      <c r="AF29">
        <f>INDEX(LINEST(Table2x238[CU5],Table2x238[RCR]^{1,2,3}),1,4)</f>
        <v>115.58041958041954</v>
      </c>
      <c r="AG29">
        <f>INDEX(LINEST(Table2x238[CU6],Table2x238[RCR]^{1,2,3}),1,4)</f>
        <v>111.11888111888115</v>
      </c>
      <c r="AH29">
        <f>INDEX(LINEST(Table2x238[CU7],Table2x238[RCR]^{1,2,3}),1,4)</f>
        <v>110.91608391608392</v>
      </c>
      <c r="AI29">
        <f>INDEX(LINEST(Table2x238[CU8],Table2x238[RCR]^{1,2,3}),1,4)</f>
        <v>110.81118881118879</v>
      </c>
      <c r="AJ29">
        <f>INDEX(LINEST(Table2x238[CU9],Table2x238[RCR]^{1,2,3}),1,4)</f>
        <v>106.07692307692307</v>
      </c>
      <c r="AK29">
        <f>INDEX(LINEST(Table2x238[CU10],Table2x238[RCR]^{1,2,3}),1,4)</f>
        <v>106.17482517482517</v>
      </c>
      <c r="AL29">
        <f>INDEX(LINEST(Table2x238[CU11],Table2x238[RCR]^{1,2,3}),1,4)</f>
        <v>105.82517482517478</v>
      </c>
      <c r="AM29">
        <f>INDEX(LINEST(Table2x238[CU12],Table2x238[RCR]^{1,2,3}),1,4)</f>
        <v>102.16783216783217</v>
      </c>
      <c r="AN29">
        <f>INDEX(LINEST(Table2x238[CU13],Table2x238[RCR]^{1,2,3}),1,4)</f>
        <v>101.91608391608392</v>
      </c>
      <c r="AO29">
        <f>INDEX(LINEST(Table2x238[CU14],Table2x238[RCR]^{1,2,3}),1,4)</f>
        <v>101.77622377622373</v>
      </c>
      <c r="AQ29" t="s">
        <v>221</v>
      </c>
      <c r="AR29">
        <f>INDEX(LINEST(Table1x440[CU],Table1x440[RCR]^{1,2,3}),1,4)</f>
        <v>119.02797202797203</v>
      </c>
      <c r="AS29">
        <f>INDEX(LINEST(Table1x440[CU1],Table1x440[RCR]^{1,2,3}),1,4)</f>
        <v>118.82517482517484</v>
      </c>
      <c r="AT29">
        <f>INDEX(LINEST(Table1x440[CU2],Table1x440[RCR]^{1,2,3}),1,4)</f>
        <v>118.68531468531467</v>
      </c>
      <c r="AU29">
        <f>INDEX(LINEST(Table1x440[CU3],Table1x440[RCR]^{1,2,3}),1,4)</f>
        <v>116.20279720279719</v>
      </c>
      <c r="AV29">
        <f>INDEX(LINEST(Table1x440[CU4],Table1x440[RCR]^{1,2,3}),1,4)</f>
        <v>115.80419580419581</v>
      </c>
      <c r="AW29">
        <f>INDEX(LINEST(Table1x440[CU5],Table1x440[RCR]^{1,2,3}),1,4)</f>
        <v>115.79020979020979</v>
      </c>
      <c r="AX29">
        <f>INDEX(LINEST(Table1x440[CU6],Table1x440[RCR]^{1,2,3}),1,4)</f>
        <v>111.27972027972025</v>
      </c>
      <c r="AY29">
        <f>INDEX(LINEST(Table1x440[CU7],Table1x440[RCR]^{1,2,3}),1,4)</f>
        <v>111.20979020979019</v>
      </c>
      <c r="AZ29">
        <f>INDEX(LINEST(Table1x440[CU8],Table1x440[RCR]^{1,2,3}),1,4)</f>
        <v>110.96503496503493</v>
      </c>
      <c r="BA29">
        <f>INDEX(LINEST(Table1x440[CU9],Table1x440[RCR]^{1,2,3}),1,4)</f>
        <v>106.23076923076923</v>
      </c>
      <c r="BB29">
        <f>INDEX(LINEST(Table1x440[CU10],Table1x440[RCR]^{1,2,3}),1,4)</f>
        <v>105.98601398601397</v>
      </c>
      <c r="BC29">
        <f>INDEX(LINEST(Table1x440[CU11],Table1x440[RCR]^{1,2,3}),1,4)</f>
        <v>105.83216783216783</v>
      </c>
      <c r="BD29">
        <f>INDEX(LINEST(Table1x440[CU12],Table1x440[RCR]^{1,2,3}),1,4)</f>
        <v>102.12587412587412</v>
      </c>
      <c r="BE29">
        <f>INDEX(LINEST(Table1x440[CU13],Table1x440[RCR]^{1,2,3}),1,4)</f>
        <v>102.06993006993007</v>
      </c>
      <c r="BF29">
        <f>INDEX(LINEST(Table1x440[CU14],Table1x440[RCR]^{1,2,3}),1,4)</f>
        <v>101.97902097902099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1.3</v>
      </c>
      <c r="F44" s="12">
        <f>E44*(C14-C15)</f>
        <v>-3.25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1.26</v>
      </c>
      <c r="F45" s="12">
        <f>E45*(C14-C15)</f>
        <v>-3.15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ht="14.25" customHeight="1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#DIV/0!</v>
      </c>
    </row>
    <row r="65" spans="8:12" x14ac:dyDescent="0.25">
      <c r="H65" t="s">
        <v>17</v>
      </c>
      <c r="I65">
        <v>80</v>
      </c>
      <c r="J65">
        <v>10</v>
      </c>
      <c r="K65">
        <v>14</v>
      </c>
      <c r="L65" t="e">
        <f>AT25</f>
        <v>#DIV/0!</v>
      </c>
    </row>
    <row r="66" spans="8:12" x14ac:dyDescent="0.25">
      <c r="H66" t="s">
        <v>18</v>
      </c>
      <c r="I66">
        <v>70</v>
      </c>
      <c r="J66">
        <v>50</v>
      </c>
      <c r="K66">
        <v>14</v>
      </c>
      <c r="L66" t="e">
        <f>AU25</f>
        <v>#DIV/0!</v>
      </c>
    </row>
    <row r="67" spans="8:12" x14ac:dyDescent="0.25">
      <c r="H67" t="s">
        <v>19</v>
      </c>
      <c r="I67">
        <v>70</v>
      </c>
      <c r="J67">
        <v>30</v>
      </c>
      <c r="K67">
        <v>14</v>
      </c>
      <c r="L67" t="e">
        <f>AV25</f>
        <v>#DIV/0!</v>
      </c>
    </row>
    <row r="68" spans="8:12" x14ac:dyDescent="0.25">
      <c r="H68" t="s">
        <v>20</v>
      </c>
      <c r="I68">
        <v>70</v>
      </c>
      <c r="J68">
        <v>10</v>
      </c>
      <c r="K68">
        <v>14</v>
      </c>
      <c r="L68" t="e">
        <f>AW25</f>
        <v>#DIV/0!</v>
      </c>
    </row>
    <row r="69" spans="8:12" x14ac:dyDescent="0.25">
      <c r="H69" t="s">
        <v>21</v>
      </c>
      <c r="I69">
        <v>50</v>
      </c>
      <c r="J69">
        <v>50</v>
      </c>
      <c r="K69">
        <v>14</v>
      </c>
      <c r="L69" t="e">
        <f>AX25</f>
        <v>#DIV/0!</v>
      </c>
    </row>
    <row r="70" spans="8:12" x14ac:dyDescent="0.25">
      <c r="H70" t="s">
        <v>22</v>
      </c>
      <c r="I70">
        <v>50</v>
      </c>
      <c r="J70">
        <v>30</v>
      </c>
      <c r="K70">
        <v>14</v>
      </c>
      <c r="L70" t="e">
        <f>AY25</f>
        <v>#DIV/0!</v>
      </c>
    </row>
    <row r="71" spans="8:12" x14ac:dyDescent="0.25">
      <c r="H71" t="s">
        <v>23</v>
      </c>
      <c r="I71">
        <v>50</v>
      </c>
      <c r="J71">
        <v>10</v>
      </c>
      <c r="K71">
        <v>14</v>
      </c>
      <c r="L71" t="e">
        <f>AZ25</f>
        <v>#DIV/0!</v>
      </c>
    </row>
    <row r="72" spans="8:12" x14ac:dyDescent="0.25">
      <c r="H72" t="s">
        <v>24</v>
      </c>
      <c r="I72">
        <v>30</v>
      </c>
      <c r="J72">
        <v>50</v>
      </c>
      <c r="K72">
        <v>14</v>
      </c>
      <c r="L72" t="e">
        <f>BA25</f>
        <v>#DIV/0!</v>
      </c>
    </row>
    <row r="73" spans="8:12" x14ac:dyDescent="0.25">
      <c r="H73" t="s">
        <v>26</v>
      </c>
      <c r="I73">
        <v>30</v>
      </c>
      <c r="J73">
        <v>30</v>
      </c>
      <c r="K73">
        <v>14</v>
      </c>
      <c r="L73" t="e">
        <f>BB25</f>
        <v>#DIV/0!</v>
      </c>
    </row>
    <row r="74" spans="8:12" x14ac:dyDescent="0.25">
      <c r="H74" t="s">
        <v>25</v>
      </c>
      <c r="I74">
        <v>30</v>
      </c>
      <c r="J74">
        <v>10</v>
      </c>
      <c r="K74">
        <v>14</v>
      </c>
      <c r="L74" t="e">
        <f>BC25</f>
        <v>#DIV/0!</v>
      </c>
    </row>
    <row r="75" spans="8:12" x14ac:dyDescent="0.25">
      <c r="H75" t="s">
        <v>27</v>
      </c>
      <c r="I75">
        <v>10</v>
      </c>
      <c r="J75">
        <v>50</v>
      </c>
      <c r="K75">
        <v>14</v>
      </c>
      <c r="L75" t="e">
        <f>BD25</f>
        <v>#DIV/0!</v>
      </c>
    </row>
    <row r="76" spans="8:12" x14ac:dyDescent="0.25">
      <c r="H76" t="s">
        <v>28</v>
      </c>
      <c r="I76">
        <v>10</v>
      </c>
      <c r="J76">
        <v>30</v>
      </c>
      <c r="K76">
        <v>14</v>
      </c>
      <c r="L76" t="e">
        <f>BE25</f>
        <v>#DIV/0!</v>
      </c>
    </row>
    <row r="77" spans="8:12" x14ac:dyDescent="0.25">
      <c r="H77" t="s">
        <v>29</v>
      </c>
      <c r="I77">
        <v>10</v>
      </c>
      <c r="J77">
        <v>10</v>
      </c>
      <c r="K77">
        <v>14</v>
      </c>
      <c r="L77" t="e">
        <f>BF25</f>
        <v>#DIV/0!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s="16" t="s">
        <v>297</v>
      </c>
      <c r="J81" s="17">
        <v>3107.7242211075068</v>
      </c>
      <c r="K81" s="17">
        <v>25.3</v>
      </c>
    </row>
    <row r="82" spans="9:22" x14ac:dyDescent="0.25">
      <c r="I82" s="16" t="s">
        <v>298</v>
      </c>
      <c r="J82" s="17">
        <v>3701.0150575776001</v>
      </c>
      <c r="K82" s="17">
        <v>28</v>
      </c>
    </row>
    <row r="83" spans="9:22" x14ac:dyDescent="0.25">
      <c r="I83" s="16" t="s">
        <v>299</v>
      </c>
      <c r="J83" s="17">
        <v>4217.2504799386497</v>
      </c>
      <c r="K83" s="17">
        <v>33</v>
      </c>
    </row>
    <row r="84" spans="9:22" x14ac:dyDescent="0.25">
      <c r="I84" s="16" t="s">
        <v>300</v>
      </c>
      <c r="J84" s="17">
        <v>4521.0370231353609</v>
      </c>
      <c r="K84" s="17">
        <v>36</v>
      </c>
    </row>
    <row r="85" spans="9:22" x14ac:dyDescent="0.25">
      <c r="I85" s="16" t="s">
        <v>301</v>
      </c>
      <c r="J85" s="17">
        <v>5805.1830326585314</v>
      </c>
      <c r="K85" s="17">
        <v>46</v>
      </c>
    </row>
    <row r="86" spans="9:22" x14ac:dyDescent="0.25">
      <c r="I86" s="16" t="s">
        <v>302</v>
      </c>
      <c r="J86" s="17">
        <v>6814.1586656415993</v>
      </c>
      <c r="K86" s="17">
        <v>52</v>
      </c>
    </row>
    <row r="87" spans="9:22" x14ac:dyDescent="0.25">
      <c r="I87" s="16" t="s">
        <v>303</v>
      </c>
      <c r="J87" s="17">
        <v>7618.6698325919997</v>
      </c>
      <c r="K87" s="17">
        <v>60</v>
      </c>
      <c r="N87" t="s">
        <v>11</v>
      </c>
      <c r="O87" t="s">
        <v>12</v>
      </c>
      <c r="P87" t="s">
        <v>15</v>
      </c>
      <c r="R87" t="s">
        <v>143</v>
      </c>
      <c r="S87" t="s">
        <v>135</v>
      </c>
      <c r="T87" t="s">
        <v>136</v>
      </c>
      <c r="V87" t="s">
        <v>138</v>
      </c>
    </row>
    <row r="88" spans="9:22" x14ac:dyDescent="0.25">
      <c r="I88" s="16" t="s">
        <v>304</v>
      </c>
      <c r="J88" s="17">
        <v>8763.3617809856205</v>
      </c>
      <c r="K88" s="17">
        <v>69.400000000000006</v>
      </c>
      <c r="N88">
        <v>80</v>
      </c>
      <c r="O88">
        <v>50</v>
      </c>
      <c r="P88">
        <v>20</v>
      </c>
      <c r="R88">
        <v>24</v>
      </c>
      <c r="S88">
        <v>1.26</v>
      </c>
      <c r="T88">
        <v>1.28</v>
      </c>
      <c r="V88">
        <v>0</v>
      </c>
    </row>
    <row r="89" spans="9:22" x14ac:dyDescent="0.25">
      <c r="I89" s="16" t="s">
        <v>305</v>
      </c>
      <c r="J89" s="17">
        <v>2226.8501027125135</v>
      </c>
      <c r="K89" s="17">
        <v>18.100000000000001</v>
      </c>
      <c r="N89">
        <v>70</v>
      </c>
      <c r="O89">
        <v>30</v>
      </c>
      <c r="R89">
        <v>22</v>
      </c>
      <c r="S89" s="11">
        <v>1.22</v>
      </c>
      <c r="T89">
        <v>1.3</v>
      </c>
      <c r="V89">
        <v>90</v>
      </c>
    </row>
    <row r="90" spans="9:22" x14ac:dyDescent="0.25">
      <c r="I90" s="16" t="s">
        <v>306</v>
      </c>
      <c r="J90" s="17">
        <v>2902.6270874176162</v>
      </c>
      <c r="K90" s="17">
        <v>24.9</v>
      </c>
      <c r="N90">
        <v>50</v>
      </c>
      <c r="O90">
        <v>10</v>
      </c>
      <c r="R90">
        <v>14</v>
      </c>
      <c r="S90">
        <v>1.26</v>
      </c>
      <c r="T90">
        <v>1.3</v>
      </c>
    </row>
    <row r="91" spans="9:22" x14ac:dyDescent="0.25">
      <c r="I91" s="16" t="s">
        <v>307</v>
      </c>
      <c r="J91" s="17">
        <v>3746.9639917158397</v>
      </c>
      <c r="K91" s="17">
        <v>32</v>
      </c>
      <c r="N91">
        <v>30</v>
      </c>
    </row>
    <row r="92" spans="9:22" x14ac:dyDescent="0.25">
      <c r="I92" s="16" t="s">
        <v>308</v>
      </c>
      <c r="J92" s="17">
        <v>4551.7466209699051</v>
      </c>
      <c r="K92" s="17">
        <v>36.700000000000003</v>
      </c>
      <c r="N92">
        <v>10</v>
      </c>
    </row>
    <row r="93" spans="9:22" x14ac:dyDescent="0.25">
      <c r="I93" s="16" t="s">
        <v>309</v>
      </c>
      <c r="J93" s="17">
        <v>5731.4559193975865</v>
      </c>
      <c r="K93" s="17">
        <v>50.1</v>
      </c>
    </row>
    <row r="94" spans="9:22" x14ac:dyDescent="0.25">
      <c r="I94" s="16" t="s">
        <v>310</v>
      </c>
      <c r="J94" s="17">
        <v>2237.6303167898723</v>
      </c>
      <c r="K94" s="17">
        <v>18</v>
      </c>
    </row>
    <row r="95" spans="9:22" x14ac:dyDescent="0.25">
      <c r="I95" s="16" t="s">
        <v>311</v>
      </c>
      <c r="J95" s="17">
        <v>2938.5186229951669</v>
      </c>
      <c r="K95" s="17">
        <v>24.5</v>
      </c>
    </row>
    <row r="96" spans="9:22" x14ac:dyDescent="0.25">
      <c r="I96" s="16" t="s">
        <v>312</v>
      </c>
      <c r="J96" s="17">
        <v>3678.8824474976</v>
      </c>
      <c r="K96" s="17">
        <v>28</v>
      </c>
    </row>
    <row r="97" spans="9:11" x14ac:dyDescent="0.25">
      <c r="I97" s="16" t="s">
        <v>313</v>
      </c>
      <c r="J97" s="17">
        <v>4494.0005620473603</v>
      </c>
      <c r="K97" s="17">
        <v>36</v>
      </c>
    </row>
    <row r="98" spans="9:11" x14ac:dyDescent="0.25">
      <c r="I98" s="16" t="s">
        <v>314</v>
      </c>
      <c r="J98" s="17">
        <v>6022.8965019644347</v>
      </c>
      <c r="K98" s="17">
        <v>49.6</v>
      </c>
    </row>
    <row r="99" spans="9:11" x14ac:dyDescent="0.25">
      <c r="I99" s="16" t="s">
        <v>336</v>
      </c>
      <c r="J99" s="17">
        <v>4633.7005360396788</v>
      </c>
      <c r="K99" s="17">
        <v>36</v>
      </c>
    </row>
    <row r="100" spans="9:11" x14ac:dyDescent="0.25">
      <c r="I100" s="16" t="s">
        <v>337</v>
      </c>
      <c r="J100" s="17">
        <v>6299.8165203750004</v>
      </c>
      <c r="K100" s="17">
        <v>50</v>
      </c>
    </row>
    <row r="101" spans="9:11" x14ac:dyDescent="0.25">
      <c r="I101" s="16" t="s">
        <v>338</v>
      </c>
      <c r="J101" s="17">
        <v>7688.8687417920009</v>
      </c>
      <c r="K101" s="17">
        <v>56</v>
      </c>
    </row>
    <row r="102" spans="9:11" x14ac:dyDescent="0.25">
      <c r="I102" s="16" t="s">
        <v>339</v>
      </c>
      <c r="J102" s="17">
        <v>9733.1259916800027</v>
      </c>
      <c r="K102" s="17">
        <v>72</v>
      </c>
    </row>
    <row r="103" spans="9:11" x14ac:dyDescent="0.25">
      <c r="I103" s="16" t="s">
        <v>315</v>
      </c>
      <c r="J103" s="17">
        <v>3159.9548802857844</v>
      </c>
      <c r="K103" s="17">
        <v>25.3</v>
      </c>
    </row>
    <row r="104" spans="9:11" x14ac:dyDescent="0.25">
      <c r="I104" s="16" t="s">
        <v>316</v>
      </c>
      <c r="J104" s="17">
        <v>3763.2169913184002</v>
      </c>
      <c r="K104" s="17">
        <v>28</v>
      </c>
    </row>
    <row r="105" spans="9:11" x14ac:dyDescent="0.25">
      <c r="I105" s="16" t="s">
        <v>317</v>
      </c>
      <c r="J105" s="17">
        <v>4288.1286392653501</v>
      </c>
      <c r="K105" s="17">
        <v>33</v>
      </c>
    </row>
    <row r="106" spans="9:11" x14ac:dyDescent="0.25">
      <c r="I106" s="16" t="s">
        <v>318</v>
      </c>
      <c r="J106" s="17">
        <v>4597.0208386502409</v>
      </c>
      <c r="K106" s="17">
        <v>36</v>
      </c>
    </row>
    <row r="107" spans="9:11" x14ac:dyDescent="0.25">
      <c r="I107" s="16" t="s">
        <v>319</v>
      </c>
      <c r="J107" s="17">
        <v>5902.7491340477509</v>
      </c>
      <c r="K107" s="17">
        <v>46</v>
      </c>
    </row>
    <row r="108" spans="9:11" x14ac:dyDescent="0.25">
      <c r="I108" s="16" t="s">
        <v>320</v>
      </c>
      <c r="J108" s="17">
        <v>6928.6823406943995</v>
      </c>
      <c r="K108" s="17">
        <v>52</v>
      </c>
    </row>
    <row r="109" spans="9:11" x14ac:dyDescent="0.25">
      <c r="I109" s="16" t="s">
        <v>321</v>
      </c>
      <c r="J109" s="17">
        <v>7746.7147037280001</v>
      </c>
      <c r="K109" s="17">
        <v>60</v>
      </c>
    </row>
    <row r="110" spans="9:11" x14ac:dyDescent="0.25">
      <c r="I110" s="16" t="s">
        <v>322</v>
      </c>
      <c r="J110" s="17">
        <v>8910.6451722626898</v>
      </c>
      <c r="K110" s="17">
        <v>69.400000000000006</v>
      </c>
    </row>
    <row r="111" spans="9:11" x14ac:dyDescent="0.25">
      <c r="I111" s="16" t="s">
        <v>323</v>
      </c>
      <c r="J111" s="17">
        <v>2264.2761548589424</v>
      </c>
      <c r="K111" s="17">
        <v>18.100000000000001</v>
      </c>
    </row>
    <row r="112" spans="9:11" x14ac:dyDescent="0.25">
      <c r="I112" s="16" t="s">
        <v>324</v>
      </c>
      <c r="J112" s="17">
        <v>2951.4107359456434</v>
      </c>
      <c r="K112" s="17">
        <v>24.9</v>
      </c>
    </row>
    <row r="113" spans="9:11" x14ac:dyDescent="0.25">
      <c r="I113" s="16" t="s">
        <v>325</v>
      </c>
      <c r="J113" s="17">
        <v>3809.9381764505597</v>
      </c>
      <c r="K113" s="17">
        <v>32</v>
      </c>
    </row>
    <row r="114" spans="9:11" x14ac:dyDescent="0.25">
      <c r="I114" s="16" t="s">
        <v>326</v>
      </c>
      <c r="J114" s="17">
        <v>4628.2465641794834</v>
      </c>
      <c r="K114" s="17">
        <v>36.700000000000003</v>
      </c>
    </row>
    <row r="115" spans="9:11" x14ac:dyDescent="0.25">
      <c r="I115" s="16" t="s">
        <v>327</v>
      </c>
      <c r="J115" s="17">
        <v>5827.7829096395626</v>
      </c>
      <c r="K115" s="17">
        <v>50.1</v>
      </c>
    </row>
    <row r="116" spans="9:11" x14ac:dyDescent="0.25">
      <c r="I116" s="16" t="s">
        <v>328</v>
      </c>
      <c r="J116" s="17">
        <v>2275.237549004828</v>
      </c>
      <c r="K116" s="17">
        <v>18</v>
      </c>
    </row>
    <row r="117" spans="9:11" x14ac:dyDescent="0.25">
      <c r="I117" s="16" t="s">
        <v>329</v>
      </c>
      <c r="J117" s="17">
        <v>2987.9054906085307</v>
      </c>
      <c r="K117" s="17">
        <v>24.5</v>
      </c>
    </row>
    <row r="118" spans="9:11" x14ac:dyDescent="0.25">
      <c r="I118" s="16" t="s">
        <v>330</v>
      </c>
      <c r="J118" s="17">
        <v>3740.7124045984001</v>
      </c>
      <c r="K118" s="17">
        <v>28</v>
      </c>
    </row>
    <row r="119" spans="9:11" x14ac:dyDescent="0.25">
      <c r="I119" s="16" t="s">
        <v>331</v>
      </c>
      <c r="J119" s="17">
        <v>4569.5299832582405</v>
      </c>
      <c r="K119" s="17">
        <v>36</v>
      </c>
    </row>
    <row r="120" spans="9:11" x14ac:dyDescent="0.25">
      <c r="I120" s="16" t="s">
        <v>332</v>
      </c>
      <c r="J120" s="17">
        <v>6124.1216532579547</v>
      </c>
      <c r="K120" s="17">
        <v>49.6</v>
      </c>
    </row>
    <row r="121" spans="9:11" x14ac:dyDescent="0.25">
      <c r="I121" s="16" t="s">
        <v>340</v>
      </c>
      <c r="J121" s="17">
        <v>4711.5778559731189</v>
      </c>
      <c r="K121" s="17">
        <v>36</v>
      </c>
    </row>
    <row r="122" spans="9:11" x14ac:dyDescent="0.25">
      <c r="I122" s="16" t="s">
        <v>341</v>
      </c>
      <c r="J122" s="17">
        <v>6405.6957896250005</v>
      </c>
      <c r="K122" s="17">
        <v>50</v>
      </c>
    </row>
    <row r="123" spans="9:11" x14ac:dyDescent="0.25">
      <c r="I123" s="16" t="s">
        <v>342</v>
      </c>
      <c r="J123" s="17">
        <v>7818.0934265280011</v>
      </c>
      <c r="K123" s="17">
        <v>56</v>
      </c>
    </row>
    <row r="124" spans="9:11" x14ac:dyDescent="0.25">
      <c r="I124" s="16" t="s">
        <v>343</v>
      </c>
      <c r="J124" s="17">
        <v>9896.7079411200029</v>
      </c>
      <c r="K124" s="17">
        <v>72</v>
      </c>
    </row>
    <row r="125" spans="9:11" x14ac:dyDescent="0.25">
      <c r="I125" s="16" t="s">
        <v>333</v>
      </c>
      <c r="J125" s="17">
        <v>3264.4161986423392</v>
      </c>
      <c r="K125" s="17">
        <v>25.3</v>
      </c>
    </row>
    <row r="126" spans="9:11" x14ac:dyDescent="0.25">
      <c r="I126" s="16" t="s">
        <v>334</v>
      </c>
      <c r="J126" s="17">
        <v>3887.6208588000004</v>
      </c>
      <c r="K126" s="17">
        <v>28</v>
      </c>
    </row>
    <row r="127" spans="9:11" x14ac:dyDescent="0.25">
      <c r="I127" s="16" t="s">
        <v>335</v>
      </c>
      <c r="J127" s="17">
        <v>4429.8849579187499</v>
      </c>
      <c r="K127" s="17">
        <v>33</v>
      </c>
    </row>
    <row r="128" spans="9:11" x14ac:dyDescent="0.25">
      <c r="I128" s="16" t="s">
        <v>363</v>
      </c>
      <c r="J128" s="17">
        <v>4748.9884696800009</v>
      </c>
      <c r="K128" s="17">
        <v>36</v>
      </c>
    </row>
    <row r="129" spans="9:11" x14ac:dyDescent="0.25">
      <c r="I129" s="16" t="s">
        <v>362</v>
      </c>
      <c r="J129" s="17">
        <v>6097.881336826189</v>
      </c>
      <c r="K129" s="17">
        <v>46</v>
      </c>
    </row>
    <row r="130" spans="9:11" x14ac:dyDescent="0.25">
      <c r="I130" s="16" t="s">
        <v>361</v>
      </c>
      <c r="J130" s="17">
        <v>7157.7296907999998</v>
      </c>
      <c r="K130" s="17">
        <v>52</v>
      </c>
    </row>
    <row r="131" spans="9:11" x14ac:dyDescent="0.25">
      <c r="I131" s="16" t="s">
        <v>360</v>
      </c>
      <c r="J131" s="17">
        <v>8002.8044460000001</v>
      </c>
      <c r="K131" s="17">
        <v>60</v>
      </c>
    </row>
    <row r="132" spans="9:11" x14ac:dyDescent="0.25">
      <c r="I132" s="16" t="s">
        <v>359</v>
      </c>
      <c r="J132" s="17">
        <v>9205.2119548168284</v>
      </c>
      <c r="K132" s="17">
        <v>69.400000000000006</v>
      </c>
    </row>
    <row r="133" spans="9:11" x14ac:dyDescent="0.25">
      <c r="I133" s="16" t="s">
        <v>358</v>
      </c>
      <c r="J133" s="17">
        <v>2339.1282591518002</v>
      </c>
      <c r="K133" s="17">
        <v>18.100000000000001</v>
      </c>
    </row>
    <row r="134" spans="9:11" x14ac:dyDescent="0.25">
      <c r="I134" s="16" t="s">
        <v>357</v>
      </c>
      <c r="J134" s="17">
        <v>3048.9780330016979</v>
      </c>
      <c r="K134" s="17">
        <v>24.9</v>
      </c>
    </row>
    <row r="135" spans="9:11" x14ac:dyDescent="0.25">
      <c r="I135" s="16" t="s">
        <v>356</v>
      </c>
      <c r="J135" s="17">
        <v>3935.8865459199997</v>
      </c>
      <c r="K135" s="17">
        <v>32</v>
      </c>
    </row>
    <row r="136" spans="9:11" x14ac:dyDescent="0.25">
      <c r="I136" s="16" t="s">
        <v>355</v>
      </c>
      <c r="J136" s="17">
        <v>4781.24645059864</v>
      </c>
      <c r="K136" s="17">
        <v>36.700000000000003</v>
      </c>
    </row>
    <row r="137" spans="9:11" x14ac:dyDescent="0.25">
      <c r="I137" s="16" t="s">
        <v>354</v>
      </c>
      <c r="J137" s="17">
        <v>6020.4368901235157</v>
      </c>
      <c r="K137" s="17">
        <v>50.1</v>
      </c>
    </row>
    <row r="138" spans="9:11" x14ac:dyDescent="0.25">
      <c r="I138" s="16" t="s">
        <v>353</v>
      </c>
      <c r="J138" s="17">
        <v>2350.4520134347399</v>
      </c>
      <c r="K138" s="17">
        <v>18</v>
      </c>
    </row>
    <row r="139" spans="9:11" x14ac:dyDescent="0.25">
      <c r="I139" s="16" t="s">
        <v>352</v>
      </c>
      <c r="J139" s="17">
        <v>3086.6792258352593</v>
      </c>
      <c r="K139" s="17">
        <v>24.5</v>
      </c>
    </row>
    <row r="140" spans="9:11" x14ac:dyDescent="0.25">
      <c r="I140" s="16" t="s">
        <v>351</v>
      </c>
      <c r="J140" s="17">
        <v>3864.3723188000004</v>
      </c>
      <c r="K140" s="17">
        <v>28</v>
      </c>
    </row>
    <row r="141" spans="9:11" x14ac:dyDescent="0.25">
      <c r="I141" s="16" t="s">
        <v>350</v>
      </c>
      <c r="J141" s="17">
        <v>4720.5888256800008</v>
      </c>
      <c r="K141" s="17">
        <v>36</v>
      </c>
    </row>
    <row r="142" spans="9:11" x14ac:dyDescent="0.25">
      <c r="I142" s="16" t="s">
        <v>349</v>
      </c>
      <c r="J142" s="17">
        <v>6326.5719558449946</v>
      </c>
      <c r="K142" s="17">
        <v>49.6</v>
      </c>
    </row>
    <row r="143" spans="9:11" x14ac:dyDescent="0.25">
      <c r="I143" s="16" t="s">
        <v>348</v>
      </c>
      <c r="J143" s="17">
        <v>4867.332495839999</v>
      </c>
      <c r="K143" s="17">
        <v>36</v>
      </c>
    </row>
    <row r="144" spans="9:11" x14ac:dyDescent="0.25">
      <c r="I144" s="16" t="s">
        <v>347</v>
      </c>
      <c r="J144" s="17">
        <v>6617.4543281250008</v>
      </c>
      <c r="K144" s="17">
        <v>50</v>
      </c>
    </row>
    <row r="145" spans="9:11" x14ac:dyDescent="0.25">
      <c r="I145" s="16" t="s">
        <v>346</v>
      </c>
      <c r="J145" s="17">
        <v>8076.5427960000015</v>
      </c>
      <c r="K145" s="17">
        <v>56</v>
      </c>
    </row>
    <row r="146" spans="9:11" x14ac:dyDescent="0.25">
      <c r="I146" s="16" t="s">
        <v>345</v>
      </c>
      <c r="J146" s="17">
        <v>10223.871840000003</v>
      </c>
      <c r="K146" s="17">
        <v>72</v>
      </c>
    </row>
    <row r="147" spans="9:11" x14ac:dyDescent="0.25">
      <c r="I147" s="16" t="s">
        <v>344</v>
      </c>
      <c r="J147" s="17">
        <v>3362.3486846016094</v>
      </c>
      <c r="K147" s="17">
        <v>25.3</v>
      </c>
    </row>
    <row r="148" spans="9:11" x14ac:dyDescent="0.25">
      <c r="I148" s="16" t="s">
        <v>364</v>
      </c>
      <c r="J148" s="17">
        <v>4004.2494845640003</v>
      </c>
      <c r="K148" s="17">
        <v>28</v>
      </c>
    </row>
    <row r="149" spans="9:11" x14ac:dyDescent="0.25">
      <c r="I149" s="16" t="s">
        <v>365</v>
      </c>
      <c r="J149" s="17">
        <v>4562.7815066563126</v>
      </c>
      <c r="K149" s="17">
        <v>33</v>
      </c>
    </row>
    <row r="150" spans="9:11" x14ac:dyDescent="0.25">
      <c r="I150" s="16" t="s">
        <v>366</v>
      </c>
      <c r="J150" s="17">
        <v>4891.4581237704015</v>
      </c>
      <c r="K150" s="17">
        <v>36</v>
      </c>
    </row>
    <row r="151" spans="9:11" x14ac:dyDescent="0.25">
      <c r="I151" s="16" t="s">
        <v>367</v>
      </c>
      <c r="J151" s="17">
        <v>6280.817776930975</v>
      </c>
      <c r="K151" s="17">
        <v>46</v>
      </c>
    </row>
    <row r="152" spans="9:11" x14ac:dyDescent="0.25">
      <c r="I152" s="16" t="s">
        <v>368</v>
      </c>
      <c r="J152" s="17">
        <v>7372.4615815240004</v>
      </c>
      <c r="K152" s="17">
        <v>52</v>
      </c>
    </row>
    <row r="153" spans="9:11" x14ac:dyDescent="0.25">
      <c r="I153" s="16" t="s">
        <v>369</v>
      </c>
      <c r="J153" s="17">
        <v>8242.88857938</v>
      </c>
      <c r="K153" s="17">
        <v>60</v>
      </c>
    </row>
    <row r="154" spans="9:11" x14ac:dyDescent="0.25">
      <c r="I154" s="16" t="s">
        <v>370</v>
      </c>
      <c r="J154" s="17">
        <v>9481.3683134613329</v>
      </c>
      <c r="K154" s="17">
        <v>69.400000000000006</v>
      </c>
    </row>
    <row r="155" spans="9:11" x14ac:dyDescent="0.25">
      <c r="I155" s="16" t="s">
        <v>371</v>
      </c>
      <c r="J155" s="17">
        <v>2409.3021069263541</v>
      </c>
      <c r="K155" s="17">
        <v>18.100000000000001</v>
      </c>
    </row>
    <row r="156" spans="9:11" x14ac:dyDescent="0.25">
      <c r="I156" s="16" t="s">
        <v>372</v>
      </c>
      <c r="J156" s="17">
        <v>3140.4473739917489</v>
      </c>
      <c r="K156" s="17">
        <v>24.9</v>
      </c>
    </row>
    <row r="157" spans="9:11" x14ac:dyDescent="0.25">
      <c r="I157" s="16" t="s">
        <v>373</v>
      </c>
      <c r="J157" s="17">
        <v>4053.9631422975999</v>
      </c>
      <c r="K157" s="17">
        <v>32</v>
      </c>
    </row>
    <row r="158" spans="9:11" x14ac:dyDescent="0.25">
      <c r="I158" s="16" t="s">
        <v>374</v>
      </c>
      <c r="J158" s="17">
        <v>4924.6838441165992</v>
      </c>
      <c r="K158" s="17">
        <v>36.700000000000003</v>
      </c>
    </row>
    <row r="159" spans="9:11" x14ac:dyDescent="0.25">
      <c r="I159" s="16" t="s">
        <v>375</v>
      </c>
      <c r="J159" s="17">
        <v>6201.0499968272215</v>
      </c>
      <c r="K159" s="17">
        <v>50.1</v>
      </c>
    </row>
    <row r="160" spans="9:11" x14ac:dyDescent="0.25">
      <c r="I160" s="16" t="s">
        <v>376</v>
      </c>
      <c r="J160" s="17">
        <v>2420.9655738377824</v>
      </c>
      <c r="K160" s="17">
        <v>18</v>
      </c>
    </row>
    <row r="161" spans="9:11" x14ac:dyDescent="0.25">
      <c r="I161" s="16" t="s">
        <v>377</v>
      </c>
      <c r="J161" s="17">
        <v>3179.2796026103174</v>
      </c>
      <c r="K161" s="17">
        <v>24.5</v>
      </c>
    </row>
    <row r="162" spans="9:11" x14ac:dyDescent="0.25">
      <c r="I162" s="16" t="s">
        <v>378</v>
      </c>
      <c r="J162" s="17">
        <v>3980.3034883640003</v>
      </c>
      <c r="K162" s="17">
        <v>28</v>
      </c>
    </row>
    <row r="163" spans="9:11" x14ac:dyDescent="0.25">
      <c r="I163" s="16" t="s">
        <v>379</v>
      </c>
      <c r="J163" s="17">
        <v>4862.2064904504014</v>
      </c>
      <c r="K163" s="17">
        <v>36</v>
      </c>
    </row>
    <row r="164" spans="9:11" x14ac:dyDescent="0.25">
      <c r="I164" s="16" t="s">
        <v>380</v>
      </c>
      <c r="J164" s="17">
        <v>6516.3691145203447</v>
      </c>
      <c r="K164" s="17">
        <v>49.6</v>
      </c>
    </row>
    <row r="165" spans="9:11" x14ac:dyDescent="0.25">
      <c r="I165" s="16" t="s">
        <v>381</v>
      </c>
      <c r="J165" s="17">
        <v>5013.3524707151992</v>
      </c>
      <c r="K165" s="17">
        <v>36</v>
      </c>
    </row>
    <row r="166" spans="9:11" x14ac:dyDescent="0.25">
      <c r="I166" s="16" t="s">
        <v>382</v>
      </c>
      <c r="J166" s="17">
        <v>6815.9779579687511</v>
      </c>
      <c r="K166" s="17">
        <v>50</v>
      </c>
    </row>
    <row r="167" spans="9:11" x14ac:dyDescent="0.25">
      <c r="I167" s="16" t="s">
        <v>383</v>
      </c>
      <c r="J167" s="17">
        <v>8318.839079880001</v>
      </c>
      <c r="K167" s="17">
        <v>56</v>
      </c>
    </row>
    <row r="168" spans="9:11" x14ac:dyDescent="0.25">
      <c r="I168" s="16" t="s">
        <v>384</v>
      </c>
      <c r="J168" s="17">
        <v>10530.587995200003</v>
      </c>
      <c r="K168" s="17">
        <v>72</v>
      </c>
    </row>
  </sheetData>
  <sheetProtection algorithmName="SHA-512" hashValue="6x+B74X3t3qX7WdcY5+SNzBtOvFY8h8xxAFqx5UYb89ijyWI+Ck1eOpqPv6QiGqg8m0GSr7xmkNItBMPhj5v9g==" saltValue="GDPa0BnR/EWCkDA4rfr5Ug==" spinCount="100000" sheet="1" selectLockedCells="1"/>
  <mergeCells count="4">
    <mergeCell ref="A52:D55"/>
    <mergeCell ref="BI5:BK5"/>
    <mergeCell ref="BI6:BK6"/>
    <mergeCell ref="BI7:BK7"/>
  </mergeCells>
  <conditionalFormatting sqref="C44">
    <cfRule type="cellIs" dxfId="116" priority="2" operator="greaterThan">
      <formula>$F$44</formula>
    </cfRule>
  </conditionalFormatting>
  <conditionalFormatting sqref="C45">
    <cfRule type="cellIs" dxfId="115" priority="1" operator="greaterThan">
      <formula>$F$45</formula>
    </cfRule>
  </conditionalFormatting>
  <dataValidations count="4">
    <dataValidation type="list" allowBlank="1" showInputMessage="1" showErrorMessage="1" sqref="C17" xr:uid="{D6D6B794-0576-4D1A-841B-7F621B2A0549}">
      <formula1>$N$88:$N$92</formula1>
    </dataValidation>
    <dataValidation type="list" allowBlank="1" showInputMessage="1" showErrorMessage="1" sqref="C18" xr:uid="{21EA868F-0E83-4015-9A6A-7FBE98F29739}">
      <formula1>$O$88:$O$90</formula1>
    </dataValidation>
    <dataValidation type="list" allowBlank="1" showInputMessage="1" showErrorMessage="1" sqref="C43" xr:uid="{07B110E2-727B-410D-B7D5-CE4A69AE462C}">
      <formula1>$V$88:$V$89</formula1>
    </dataValidation>
    <dataValidation type="list" allowBlank="1" showInputMessage="1" showErrorMessage="1" sqref="C21" xr:uid="{5D123464-4861-4158-BEC8-1210A71B52F4}">
      <formula1>$I$81:$I$168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D0CC3-398C-4D17-A7D7-E582FF720767}">
  <sheetPr>
    <pageSetUpPr fitToPage="1"/>
  </sheetPr>
  <dimension ref="A5:BK224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5.5703125" customWidth="1"/>
    <col min="3" max="3" width="24.1406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407</v>
      </c>
      <c r="BH7" s="5" t="s">
        <v>1345</v>
      </c>
      <c r="BI7" s="37"/>
      <c r="BJ7" s="37"/>
      <c r="BK7" s="37"/>
    </row>
    <row r="9" spans="1:63" x14ac:dyDescent="0.25">
      <c r="I9" s="6" t="s">
        <v>117</v>
      </c>
      <c r="Z9" s="2" t="s">
        <v>114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110</v>
      </c>
      <c r="AH13">
        <v>110</v>
      </c>
      <c r="AI13">
        <v>110</v>
      </c>
      <c r="AJ13">
        <v>105</v>
      </c>
      <c r="AK13">
        <v>105</v>
      </c>
      <c r="AL13">
        <v>105</v>
      </c>
      <c r="AM13">
        <v>100</v>
      </c>
      <c r="AN13">
        <v>100</v>
      </c>
      <c r="AO13">
        <v>100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96</v>
      </c>
      <c r="M14">
        <v>102</v>
      </c>
      <c r="N14">
        <v>98</v>
      </c>
      <c r="O14">
        <v>94</v>
      </c>
      <c r="P14">
        <v>97</v>
      </c>
      <c r="Q14">
        <v>94</v>
      </c>
      <c r="R14">
        <v>91</v>
      </c>
      <c r="S14">
        <v>93</v>
      </c>
      <c r="T14">
        <v>91</v>
      </c>
      <c r="U14">
        <v>88</v>
      </c>
      <c r="V14">
        <v>90</v>
      </c>
      <c r="W14">
        <v>88</v>
      </c>
      <c r="X14">
        <v>86</v>
      </c>
      <c r="Z14">
        <v>1</v>
      </c>
      <c r="AA14">
        <v>103</v>
      </c>
      <c r="AB14">
        <v>98</v>
      </c>
      <c r="AC14">
        <v>94</v>
      </c>
      <c r="AD14">
        <v>100</v>
      </c>
      <c r="AE14">
        <v>96</v>
      </c>
      <c r="AF14">
        <v>92</v>
      </c>
      <c r="AG14">
        <v>95</v>
      </c>
      <c r="AH14">
        <v>92</v>
      </c>
      <c r="AI14">
        <v>89</v>
      </c>
      <c r="AJ14">
        <v>91</v>
      </c>
      <c r="AK14">
        <v>88</v>
      </c>
      <c r="AL14">
        <v>86</v>
      </c>
      <c r="AM14">
        <v>87</v>
      </c>
      <c r="AN14">
        <v>85</v>
      </c>
      <c r="AO14">
        <v>83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83</v>
      </c>
      <c r="L15">
        <v>78</v>
      </c>
      <c r="M15">
        <v>88</v>
      </c>
      <c r="N15">
        <v>82</v>
      </c>
      <c r="O15">
        <v>77</v>
      </c>
      <c r="P15">
        <v>85</v>
      </c>
      <c r="Q15">
        <v>80</v>
      </c>
      <c r="R15">
        <v>75</v>
      </c>
      <c r="S15">
        <v>82</v>
      </c>
      <c r="T15">
        <v>77</v>
      </c>
      <c r="U15">
        <v>73</v>
      </c>
      <c r="V15">
        <v>79</v>
      </c>
      <c r="W15">
        <v>75</v>
      </c>
      <c r="X15">
        <v>72</v>
      </c>
      <c r="Z15">
        <v>2</v>
      </c>
      <c r="AA15">
        <v>89</v>
      </c>
      <c r="AB15">
        <v>82</v>
      </c>
      <c r="AC15">
        <v>76</v>
      </c>
      <c r="AD15">
        <v>87</v>
      </c>
      <c r="AE15">
        <v>81</v>
      </c>
      <c r="AF15">
        <v>75</v>
      </c>
      <c r="AG15">
        <v>83</v>
      </c>
      <c r="AH15">
        <v>78</v>
      </c>
      <c r="AI15">
        <v>73</v>
      </c>
      <c r="AJ15">
        <v>80</v>
      </c>
      <c r="AK15">
        <v>75</v>
      </c>
      <c r="AL15">
        <v>71</v>
      </c>
      <c r="AM15">
        <v>76</v>
      </c>
      <c r="AN15">
        <v>73</v>
      </c>
      <c r="AO15">
        <v>69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79</v>
      </c>
      <c r="K16">
        <v>71</v>
      </c>
      <c r="L16">
        <v>64</v>
      </c>
      <c r="M16">
        <v>78</v>
      </c>
      <c r="N16">
        <v>70</v>
      </c>
      <c r="O16">
        <v>64</v>
      </c>
      <c r="P16">
        <v>75</v>
      </c>
      <c r="Q16">
        <v>68</v>
      </c>
      <c r="R16">
        <v>63</v>
      </c>
      <c r="S16">
        <v>72</v>
      </c>
      <c r="T16">
        <v>66</v>
      </c>
      <c r="U16">
        <v>62</v>
      </c>
      <c r="V16">
        <v>69</v>
      </c>
      <c r="W16">
        <v>65</v>
      </c>
      <c r="X16">
        <v>60</v>
      </c>
      <c r="Z16">
        <v>3</v>
      </c>
      <c r="AA16">
        <v>78</v>
      </c>
      <c r="AB16">
        <v>70</v>
      </c>
      <c r="AC16">
        <v>63</v>
      </c>
      <c r="AD16">
        <v>77</v>
      </c>
      <c r="AE16">
        <v>69</v>
      </c>
      <c r="AF16">
        <v>63</v>
      </c>
      <c r="AG16">
        <v>73</v>
      </c>
      <c r="AH16">
        <v>67</v>
      </c>
      <c r="AI16">
        <v>61</v>
      </c>
      <c r="AJ16">
        <v>70</v>
      </c>
      <c r="AK16">
        <v>65</v>
      </c>
      <c r="AL16">
        <v>60</v>
      </c>
      <c r="AM16">
        <v>67</v>
      </c>
      <c r="AN16">
        <v>63</v>
      </c>
      <c r="AO16">
        <v>59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70</v>
      </c>
      <c r="K17">
        <v>61</v>
      </c>
      <c r="L17">
        <v>54</v>
      </c>
      <c r="M17">
        <v>69</v>
      </c>
      <c r="N17">
        <v>60</v>
      </c>
      <c r="O17">
        <v>54</v>
      </c>
      <c r="P17">
        <v>66</v>
      </c>
      <c r="Q17">
        <v>59</v>
      </c>
      <c r="R17">
        <v>53</v>
      </c>
      <c r="S17">
        <v>64</v>
      </c>
      <c r="T17">
        <v>58</v>
      </c>
      <c r="U17">
        <v>52</v>
      </c>
      <c r="V17">
        <v>62</v>
      </c>
      <c r="W17">
        <v>56</v>
      </c>
      <c r="X17">
        <v>52</v>
      </c>
      <c r="Z17">
        <v>4</v>
      </c>
      <c r="AA17">
        <v>69</v>
      </c>
      <c r="AB17">
        <v>60</v>
      </c>
      <c r="AC17">
        <v>54</v>
      </c>
      <c r="AD17">
        <v>68</v>
      </c>
      <c r="AE17">
        <v>60</v>
      </c>
      <c r="AF17">
        <v>53</v>
      </c>
      <c r="AG17">
        <v>65</v>
      </c>
      <c r="AH17">
        <v>58</v>
      </c>
      <c r="AI17">
        <v>52</v>
      </c>
      <c r="AJ17">
        <v>62</v>
      </c>
      <c r="AK17">
        <v>56</v>
      </c>
      <c r="AL17">
        <v>51</v>
      </c>
      <c r="AM17">
        <v>60</v>
      </c>
      <c r="AN17">
        <v>55</v>
      </c>
      <c r="AO17">
        <v>50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62</v>
      </c>
      <c r="K18">
        <v>53</v>
      </c>
      <c r="L18">
        <v>47</v>
      </c>
      <c r="M18">
        <v>61</v>
      </c>
      <c r="N18">
        <v>53</v>
      </c>
      <c r="O18">
        <v>46</v>
      </c>
      <c r="P18">
        <v>59</v>
      </c>
      <c r="Q18">
        <v>52</v>
      </c>
      <c r="R18">
        <v>46</v>
      </c>
      <c r="S18">
        <v>57</v>
      </c>
      <c r="T18">
        <v>51</v>
      </c>
      <c r="U18">
        <v>45</v>
      </c>
      <c r="V18">
        <v>55</v>
      </c>
      <c r="W18">
        <v>50</v>
      </c>
      <c r="X18">
        <v>45</v>
      </c>
      <c r="Z18">
        <v>5</v>
      </c>
      <c r="AA18">
        <v>62</v>
      </c>
      <c r="AB18">
        <v>53</v>
      </c>
      <c r="AC18">
        <v>46</v>
      </c>
      <c r="AD18">
        <v>61</v>
      </c>
      <c r="AE18">
        <v>52</v>
      </c>
      <c r="AF18">
        <v>46</v>
      </c>
      <c r="AG18">
        <v>58</v>
      </c>
      <c r="AH18">
        <v>51</v>
      </c>
      <c r="AI18">
        <v>45</v>
      </c>
      <c r="AJ18">
        <v>56</v>
      </c>
      <c r="AK18">
        <v>50</v>
      </c>
      <c r="AL18">
        <v>44</v>
      </c>
      <c r="AM18">
        <v>54</v>
      </c>
      <c r="AN18">
        <v>48</v>
      </c>
      <c r="AO18">
        <v>44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56</v>
      </c>
      <c r="K19">
        <v>47</v>
      </c>
      <c r="L19">
        <v>41</v>
      </c>
      <c r="M19">
        <v>55</v>
      </c>
      <c r="N19">
        <v>47</v>
      </c>
      <c r="O19">
        <v>40</v>
      </c>
      <c r="P19">
        <v>53</v>
      </c>
      <c r="Q19">
        <v>46</v>
      </c>
      <c r="R19">
        <v>40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39</v>
      </c>
      <c r="Z19">
        <v>6</v>
      </c>
      <c r="AA19">
        <v>56</v>
      </c>
      <c r="AB19">
        <v>47</v>
      </c>
      <c r="AC19">
        <v>40</v>
      </c>
      <c r="AD19">
        <v>55</v>
      </c>
      <c r="AE19">
        <v>46</v>
      </c>
      <c r="AF19">
        <v>40</v>
      </c>
      <c r="AG19">
        <v>53</v>
      </c>
      <c r="AH19">
        <v>45</v>
      </c>
      <c r="AI19">
        <v>39</v>
      </c>
      <c r="AJ19">
        <v>51</v>
      </c>
      <c r="AK19">
        <v>44</v>
      </c>
      <c r="AL19">
        <v>39</v>
      </c>
      <c r="AM19">
        <v>49</v>
      </c>
      <c r="AN19">
        <v>43</v>
      </c>
      <c r="AO19">
        <v>38</v>
      </c>
      <c r="AQ19">
        <v>6</v>
      </c>
    </row>
    <row r="20" spans="1:63" x14ac:dyDescent="0.25">
      <c r="I20">
        <v>7</v>
      </c>
      <c r="J20">
        <v>51</v>
      </c>
      <c r="K20">
        <v>42</v>
      </c>
      <c r="L20">
        <v>36</v>
      </c>
      <c r="M20">
        <v>50</v>
      </c>
      <c r="N20">
        <v>42</v>
      </c>
      <c r="O20">
        <v>36</v>
      </c>
      <c r="P20">
        <v>48</v>
      </c>
      <c r="Q20">
        <v>41</v>
      </c>
      <c r="R20">
        <v>35</v>
      </c>
      <c r="S20">
        <v>47</v>
      </c>
      <c r="T20">
        <v>40</v>
      </c>
      <c r="U20">
        <v>35</v>
      </c>
      <c r="V20">
        <v>46</v>
      </c>
      <c r="W20">
        <v>40</v>
      </c>
      <c r="X20">
        <v>35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41</v>
      </c>
      <c r="AF20">
        <v>35</v>
      </c>
      <c r="AG20">
        <v>48</v>
      </c>
      <c r="AH20">
        <v>40</v>
      </c>
      <c r="AI20">
        <v>35</v>
      </c>
      <c r="AJ20">
        <v>46</v>
      </c>
      <c r="AK20">
        <v>40</v>
      </c>
      <c r="AL20">
        <v>35</v>
      </c>
      <c r="AM20">
        <v>45</v>
      </c>
      <c r="AN20">
        <v>39</v>
      </c>
      <c r="AO20">
        <v>34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IF(ISNUMBER(SEARCH("FR",C21)),"Yes","No")</f>
        <v>No</v>
      </c>
      <c r="I21">
        <v>8</v>
      </c>
      <c r="J21">
        <v>46</v>
      </c>
      <c r="K21">
        <v>38</v>
      </c>
      <c r="L21">
        <v>32</v>
      </c>
      <c r="M21">
        <v>46</v>
      </c>
      <c r="N21">
        <v>37</v>
      </c>
      <c r="O21">
        <v>32</v>
      </c>
      <c r="P21">
        <v>44</v>
      </c>
      <c r="Q21">
        <v>37</v>
      </c>
      <c r="R21">
        <v>32</v>
      </c>
      <c r="S21">
        <v>43</v>
      </c>
      <c r="T21">
        <v>36</v>
      </c>
      <c r="U21">
        <v>31</v>
      </c>
      <c r="V21">
        <v>42</v>
      </c>
      <c r="W21">
        <v>36</v>
      </c>
      <c r="X21">
        <v>31</v>
      </c>
      <c r="Z21">
        <v>8</v>
      </c>
      <c r="AA21">
        <v>46</v>
      </c>
      <c r="AB21">
        <v>38</v>
      </c>
      <c r="AC21">
        <v>32</v>
      </c>
      <c r="AD21">
        <v>45</v>
      </c>
      <c r="AE21">
        <v>37</v>
      </c>
      <c r="AF21">
        <v>31</v>
      </c>
      <c r="AG21">
        <v>44</v>
      </c>
      <c r="AH21">
        <v>36</v>
      </c>
      <c r="AI21">
        <v>31</v>
      </c>
      <c r="AJ21">
        <v>42</v>
      </c>
      <c r="AK21">
        <v>36</v>
      </c>
      <c r="AL21">
        <v>31</v>
      </c>
      <c r="AM21">
        <v>41</v>
      </c>
      <c r="AN21">
        <v>35</v>
      </c>
      <c r="AO21">
        <v>31</v>
      </c>
      <c r="AQ21">
        <v>8</v>
      </c>
    </row>
    <row r="22" spans="1:63" x14ac:dyDescent="0.25">
      <c r="B22" t="s">
        <v>30</v>
      </c>
      <c r="C22" s="4" t="e">
        <f>VLOOKUP(C21,Model52353[],2,0)</f>
        <v>#N/A</v>
      </c>
      <c r="D22" t="s">
        <v>131</v>
      </c>
      <c r="I22">
        <v>9</v>
      </c>
      <c r="J22">
        <v>42</v>
      </c>
      <c r="K22">
        <v>34</v>
      </c>
      <c r="L22">
        <v>29</v>
      </c>
      <c r="M22">
        <v>42</v>
      </c>
      <c r="N22">
        <v>34</v>
      </c>
      <c r="O22">
        <v>29</v>
      </c>
      <c r="P22">
        <v>41</v>
      </c>
      <c r="Q22">
        <v>33</v>
      </c>
      <c r="R22">
        <v>28</v>
      </c>
      <c r="S22">
        <v>40</v>
      </c>
      <c r="T22">
        <v>33</v>
      </c>
      <c r="U22">
        <v>28</v>
      </c>
      <c r="V22">
        <v>39</v>
      </c>
      <c r="W22">
        <v>33</v>
      </c>
      <c r="X22">
        <v>28</v>
      </c>
      <c r="Z22">
        <v>9</v>
      </c>
      <c r="AA22">
        <v>42</v>
      </c>
      <c r="AB22">
        <v>34</v>
      </c>
      <c r="AC22">
        <v>28</v>
      </c>
      <c r="AD22">
        <v>42</v>
      </c>
      <c r="AE22">
        <v>34</v>
      </c>
      <c r="AF22">
        <v>28</v>
      </c>
      <c r="AG22">
        <v>40</v>
      </c>
      <c r="AH22">
        <v>33</v>
      </c>
      <c r="AI22">
        <v>28</v>
      </c>
      <c r="AJ22">
        <v>39</v>
      </c>
      <c r="AK22">
        <v>33</v>
      </c>
      <c r="AL22">
        <v>28</v>
      </c>
      <c r="AM22">
        <v>38</v>
      </c>
      <c r="AN22">
        <v>32</v>
      </c>
      <c r="AO22">
        <v>28</v>
      </c>
      <c r="AQ22">
        <v>9</v>
      </c>
    </row>
    <row r="23" spans="1:63" x14ac:dyDescent="0.25">
      <c r="B23" t="s">
        <v>31</v>
      </c>
      <c r="C23" t="e">
        <f>VLOOKUP(C21,Model52353[],3,FALSE)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39</v>
      </c>
      <c r="N23">
        <v>31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30</v>
      </c>
      <c r="U23">
        <v>26</v>
      </c>
      <c r="V23">
        <v>36</v>
      </c>
      <c r="W23">
        <v>30</v>
      </c>
      <c r="X23">
        <v>25</v>
      </c>
      <c r="Z23">
        <v>10</v>
      </c>
      <c r="AA23">
        <v>39</v>
      </c>
      <c r="AB23">
        <v>31</v>
      </c>
      <c r="AC23">
        <v>26</v>
      </c>
      <c r="AD23">
        <v>38</v>
      </c>
      <c r="AE23">
        <v>31</v>
      </c>
      <c r="AF23">
        <v>26</v>
      </c>
      <c r="AG23">
        <v>37</v>
      </c>
      <c r="AH23">
        <v>30</v>
      </c>
      <c r="AI23">
        <v>25</v>
      </c>
      <c r="AJ23">
        <v>36</v>
      </c>
      <c r="AK23">
        <v>30</v>
      </c>
      <c r="AL23">
        <v>25</v>
      </c>
      <c r="AM23">
        <v>35</v>
      </c>
      <c r="AN23">
        <v>29</v>
      </c>
      <c r="AO23">
        <v>25</v>
      </c>
      <c r="AQ23">
        <v>10</v>
      </c>
    </row>
    <row r="24" spans="1:63" x14ac:dyDescent="0.25">
      <c r="B24" t="s">
        <v>3</v>
      </c>
      <c r="C24" s="11" t="e">
        <f t="array" ref="C24">INDEX(CUtable42252[],MATCH(1,(CUtable42252[RC]=C17)*(CUtable42252[RW]=C18)*(CUtable42252[FR]=E21),0),4)</f>
        <v>#DIV/0!</v>
      </c>
      <c r="H24" s="5"/>
    </row>
    <row r="25" spans="1:63" x14ac:dyDescent="0.25">
      <c r="B25" t="s">
        <v>133</v>
      </c>
      <c r="C25" s="11">
        <f>VLOOKUP(E21,Table812172757[],2,FALSE)</f>
        <v>1.3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VLOOKUP(E21,Table812172757[],3,FALSE)</f>
        <v>1.28</v>
      </c>
      <c r="H26" s="5"/>
      <c r="I26" t="s">
        <v>218</v>
      </c>
      <c r="J26">
        <f>INDEX(LINEST(TablePBL51[CU],TablePBL51[RCR]^{1,2,3}),1)</f>
        <v>-4.2735042735043062E-2</v>
      </c>
      <c r="K26">
        <f>INDEX(LINEST(TablePBL51[CU1],TablePBL51[RCR]^{1,2,3}),1)</f>
        <v>-7.5951825951826146E-2</v>
      </c>
      <c r="L26">
        <f>INDEX(LINEST(TablePBL51[CU2],TablePBL51[RCR]^{1,2,3}),1)</f>
        <v>-0.10683760683760703</v>
      </c>
      <c r="M26">
        <f>INDEX(LINEST(TablePBL51[CU3],TablePBL51[RCR]^{1,2,3}),1)</f>
        <v>-3.6130536130536538E-2</v>
      </c>
      <c r="N26">
        <f>INDEX(LINEST(TablePBL51[CU4],TablePBL51[RCR]^{1,2,3}),1)</f>
        <v>-6.7987567987568651E-2</v>
      </c>
      <c r="O26">
        <f>INDEX(LINEST(TablePBL51[CU5],TablePBL51[RCR]^{1,2,3}),1)</f>
        <v>-9.3240093240093982E-2</v>
      </c>
      <c r="P26">
        <f>INDEX(LINEST(TablePBL51[CU6],TablePBL51[RCR]^{1,2,3}),1)</f>
        <v>-2.894327894327909E-2</v>
      </c>
      <c r="Q26">
        <f>INDEX(LINEST(TablePBL51[CU7],TablePBL51[RCR]^{1,2,3}),1)</f>
        <v>-5.5361305361305652E-2</v>
      </c>
      <c r="R26">
        <f>INDEX(LINEST(TablePBL51[CU8],TablePBL51[RCR]^{1,2,3}),1)</f>
        <v>-7.7700077700077919E-2</v>
      </c>
      <c r="S26">
        <f>INDEX(LINEST(TablePBL51[CU9],TablePBL51[RCR]^{1,2,3}),1)</f>
        <v>-2.9331779331779547E-2</v>
      </c>
      <c r="T26">
        <f>INDEX(LINEST(TablePBL51[CU10],TablePBL51[RCR]^{1,2,3}),1)</f>
        <v>-4.8562548562548637E-2</v>
      </c>
      <c r="U26">
        <f>INDEX(LINEST(TablePBL51[CU11],TablePBL51[RCR]^{1,2,3}),1)</f>
        <v>-6.3519813519813909E-2</v>
      </c>
      <c r="V26">
        <f>INDEX(LINEST(TablePBL51[CU12],TablePBL51[RCR]^{1,2,3}),1)</f>
        <v>-3.16627816627819E-2</v>
      </c>
      <c r="W26">
        <f>INDEX(LINEST(TablePBL51[CU13],TablePBL51[RCR]^{1,2,3}),1)</f>
        <v>-4.4483294483294744E-2</v>
      </c>
      <c r="X26">
        <f>INDEX(LINEST(TablePBL51[CU14],TablePBL51[RCR]^{1,2,3}),1)</f>
        <v>-5.8857808857809009E-2</v>
      </c>
      <c r="Z26" t="s">
        <v>218</v>
      </c>
      <c r="AA26">
        <f>INDEX(LINEST(TablePBLFR58[CU],TablePBLFR58[RCR]^{1,2,3}),1)</f>
        <v>-5.5361305361305471E-2</v>
      </c>
      <c r="AB26">
        <f>INDEX(LINEST(TablePBLFR58[CU1],TablePBLFR58[RCR]^{1,2,3}),1)</f>
        <v>-8.9743589743590341E-2</v>
      </c>
      <c r="AC26">
        <f>INDEX(LINEST(TablePBLFR58[CU2],TablePBLFR58[RCR]^{1,2,3}),1)</f>
        <v>-0.11829836829836886</v>
      </c>
      <c r="AD26">
        <f>INDEX(LINEST(TablePBLFR58[CU3],TablePBLFR58[RCR]^{1,2,3}),1)</f>
        <v>-5.1476301476301674E-2</v>
      </c>
      <c r="AE26">
        <f>INDEX(LINEST(TablePBLFR58[CU4],TablePBLFR58[RCR]^{1,2,3}),1)</f>
        <v>-7.1872571872572497E-2</v>
      </c>
      <c r="AF26">
        <f>INDEX(LINEST(TablePBLFR58[CU5],TablePBLFR58[RCR]^{1,2,3}),1)</f>
        <v>-0.10139860139860174</v>
      </c>
      <c r="AG26">
        <f>INDEX(LINEST(TablePBLFR58[CU6],TablePBLFR58[RCR]^{1,2,3}),1)</f>
        <v>-5.0310800310800451E-2</v>
      </c>
      <c r="AH26">
        <f>INDEX(LINEST(TablePBLFR58[CU7],TablePBLFR58[RCR]^{1,2,3}),1)</f>
        <v>-6.196581196581212E-2</v>
      </c>
      <c r="AI26">
        <f>INDEX(LINEST(TablePBLFR58[CU8],TablePBLFR58[RCR]^{1,2,3}),1)</f>
        <v>-9.3240093240093844E-2</v>
      </c>
      <c r="AJ26">
        <f>INDEX(LINEST(TablePBLFR58[CU9],TablePBLFR58[RCR]^{1,2,3}),1)</f>
        <v>-4.1958041958042258E-2</v>
      </c>
      <c r="AK26">
        <f>INDEX(LINEST(TablePBLFR58[CU10],TablePBLFR58[RCR]^{1,2,3}),1)</f>
        <v>-6.1965811965812065E-2</v>
      </c>
      <c r="AL26">
        <f>INDEX(LINEST(TablePBLFR58[CU11],TablePBLFR58[RCR]^{1,2,3}),1)</f>
        <v>-8.3333333333333842E-2</v>
      </c>
      <c r="AM26">
        <f>INDEX(LINEST(TablePBLFR58[CU12],TablePBLFR58[RCR]^{1,2,3}),1)</f>
        <v>-4.3900543900544035E-2</v>
      </c>
      <c r="AN26">
        <f>INDEX(LINEST(TablePBLFR58[CU13],TablePBLFR58[RCR]^{1,2,3}),1)</f>
        <v>-4.9728049728050124E-2</v>
      </c>
      <c r="AO26">
        <f>INDEX(LINEST(TablePBLFR58[CU14],TablePBLFR58[RCR]^{1,2,3}),1)</f>
        <v>-6.6239316239316628E-2</v>
      </c>
      <c r="AQ26" t="s">
        <v>218</v>
      </c>
      <c r="AR26" t="e">
        <f>INDEX(LINEST(Table1x43060[CU],Table1x43060[RCR]^{1,2,3}),1)</f>
        <v>#VALUE!</v>
      </c>
      <c r="AS26" t="e">
        <f>INDEX(LINEST(Table1x43060[CU1],Table1x43060[RCR]^{1,2,3}),1)</f>
        <v>#VALUE!</v>
      </c>
      <c r="AT26" t="e">
        <f>INDEX(LINEST(Table1x43060[CU2],Table1x43060[RCR]^{1,2,3}),1)</f>
        <v>#VALUE!</v>
      </c>
      <c r="AU26" t="e">
        <f>INDEX(LINEST(Table1x43060[CU3],Table1x43060[RCR]^{1,2,3}),1)</f>
        <v>#VALUE!</v>
      </c>
      <c r="AV26" t="e">
        <f>INDEX(LINEST(Table1x43060[CU4],Table1x43060[RCR]^{1,2,3}),1)</f>
        <v>#VALUE!</v>
      </c>
      <c r="AW26" t="e">
        <f>INDEX(LINEST(Table1x43060[CU5],Table1x43060[RCR]^{1,2,3}),1)</f>
        <v>#VALUE!</v>
      </c>
      <c r="AX26" t="e">
        <f>INDEX(LINEST(Table1x43060[CU6],Table1x43060[RCR]^{1,2,3}),1)</f>
        <v>#VALUE!</v>
      </c>
      <c r="AY26" t="e">
        <f>INDEX(LINEST(Table1x43060[CU7],Table1x43060[RCR]^{1,2,3}),1)</f>
        <v>#VALUE!</v>
      </c>
      <c r="AZ26" t="e">
        <f>INDEX(LINEST(Table1x43060[CU8],Table1x43060[RCR]^{1,2,3}),1)</f>
        <v>#VALUE!</v>
      </c>
      <c r="BA26" t="e">
        <f>INDEX(LINEST(Table1x43060[CU9],Table1x43060[RCR]^{1,2,3}),1)</f>
        <v>#VALUE!</v>
      </c>
      <c r="BB26" t="e">
        <f>INDEX(LINEST(Table1x43060[CU10],Table1x43060[RCR]^{1,2,3}),1)</f>
        <v>#VALUE!</v>
      </c>
      <c r="BC26" t="e">
        <f>INDEX(LINEST(Table1x43060[CU11],Table1x43060[RCR]^{1,2,3}),1)</f>
        <v>#VALUE!</v>
      </c>
      <c r="BD26" t="e">
        <f>INDEX(LINEST(Table1x43060[CU12],Table1x43060[RCR]^{1,2,3}),1)</f>
        <v>#VALUE!</v>
      </c>
      <c r="BE26" t="e">
        <f>INDEX(LINEST(Table1x43060[CU13],Table1x43060[RCR]^{1,2,3}),1)</f>
        <v>#VALUE!</v>
      </c>
      <c r="BF26" t="e">
        <f>INDEX(LINEST(Table1x43060[CU14],Table1x43060[RCR]^{1,2,3}),1)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INDEX(LINEST(TablePBL51[CU],TablePBL51[RCR]^{1,2,3}),1,2)</f>
        <v>1.3123543123543164</v>
      </c>
      <c r="K27">
        <f>INDEX(LINEST(TablePBL51[CU1],TablePBL51[RCR]^{1,2,3}),1,2)</f>
        <v>2.016899766899769</v>
      </c>
      <c r="L27">
        <f>INDEX(LINEST(TablePBL51[CU2],TablePBL51[RCR]^{1,2,3}),1,2)</f>
        <v>2.6398601398601418</v>
      </c>
      <c r="M27">
        <f>INDEX(LINEST(TablePBL51[CU3],TablePBL51[RCR]^{1,2,3}),1,2)</f>
        <v>1.1958041958042018</v>
      </c>
      <c r="N27">
        <f>INDEX(LINEST(TablePBL51[CU4],TablePBL51[RCR]^{1,2,3}),1,2)</f>
        <v>1.850815850815861</v>
      </c>
      <c r="O27">
        <f>INDEX(LINEST(TablePBL51[CU5],TablePBL51[RCR]^{1,2,3}),1,2)</f>
        <v>2.3927738927739028</v>
      </c>
      <c r="P27">
        <f>INDEX(LINEST(TablePBL51[CU6],TablePBL51[RCR]^{1,2,3}),1,2)</f>
        <v>1.0576923076923093</v>
      </c>
      <c r="Q27">
        <f>INDEX(LINEST(TablePBL51[CU7],TablePBL51[RCR]^{1,2,3}),1,2)</f>
        <v>1.5949883449883491</v>
      </c>
      <c r="R27">
        <f>INDEX(LINEST(TablePBL51[CU8],TablePBL51[RCR]^{1,2,3}),1,2)</f>
        <v>2.0710955710955732</v>
      </c>
      <c r="S27">
        <f>INDEX(LINEST(TablePBL51[CU9],TablePBL51[RCR]^{1,2,3}),1,2)</f>
        <v>1.0110722610722638</v>
      </c>
      <c r="T27">
        <f>INDEX(LINEST(TablePBL51[CU10],TablePBL51[RCR]^{1,2,3}),1,2)</f>
        <v>1.4254079254079253</v>
      </c>
      <c r="U27">
        <f>INDEX(LINEST(TablePBL51[CU11],TablePBL51[RCR]^{1,2,3}),1,2)</f>
        <v>1.7826340326340382</v>
      </c>
      <c r="V27">
        <f>INDEX(LINEST(TablePBL51[CU12],TablePBL51[RCR]^{1,2,3}),1,2)</f>
        <v>1.0285547785547817</v>
      </c>
      <c r="W27">
        <f>INDEX(LINEST(TablePBL51[CU13],TablePBL51[RCR]^{1,2,3}),1,2)</f>
        <v>1.3257575757575792</v>
      </c>
      <c r="X27">
        <f>INDEX(LINEST(TablePBL51[CU14],TablePBL51[RCR]^{1,2,3}),1,2)</f>
        <v>1.6369463869463887</v>
      </c>
      <c r="Z27" t="s">
        <v>219</v>
      </c>
      <c r="AA27">
        <f>INDEX(LINEST(TablePBLFR58[CU],TablePBLFR58[RCR]^{1,2,3}),1,2)</f>
        <v>1.5134032634032635</v>
      </c>
      <c r="AB27">
        <f>INDEX(LINEST(TablePBLFR58[CU1],TablePBLFR58[RCR]^{1,2,3}),1,2)</f>
        <v>2.2284382284382374</v>
      </c>
      <c r="AC27">
        <f>INDEX(LINEST(TablePBLFR58[CU2],TablePBLFR58[RCR]^{1,2,3}),1,2)</f>
        <v>2.8222610722610795</v>
      </c>
      <c r="AD27">
        <f>INDEX(LINEST(TablePBLFR58[CU3],TablePBLFR58[RCR]^{1,2,3}),1,2)</f>
        <v>1.414335664335667</v>
      </c>
      <c r="AE27">
        <f>INDEX(LINEST(TablePBLFR58[CU4],TablePBLFR58[RCR]^{1,2,3}),1,2)</f>
        <v>1.9324009324009419</v>
      </c>
      <c r="AF27">
        <f>INDEX(LINEST(TablePBLFR58[CU5],TablePBLFR58[RCR]^{1,2,3}),1,2)</f>
        <v>2.5221445221445267</v>
      </c>
      <c r="AG27">
        <f>INDEX(LINEST(TablePBLFR58[CU6],TablePBLFR58[RCR]^{1,2,3}),1,2)</f>
        <v>1.3607226107226125</v>
      </c>
      <c r="AH27">
        <f>INDEX(LINEST(TablePBLFR58[CU7],TablePBLFR58[RCR]^{1,2,3}),1,2)</f>
        <v>1.6952214452214467</v>
      </c>
      <c r="AI27">
        <f>INDEX(LINEST(TablePBLFR58[CU8],TablePBLFR58[RCR]^{1,2,3}),1,2)</f>
        <v>2.3053613053613149</v>
      </c>
      <c r="AJ27">
        <f>INDEX(LINEST(TablePBLFR58[CU9],TablePBLFR58[RCR]^{1,2,3}),1,2)</f>
        <v>1.2121212121212168</v>
      </c>
      <c r="AK27">
        <f>INDEX(LINEST(TablePBLFR58[CU10],TablePBLFR58[RCR]^{1,2,3}),1,2)</f>
        <v>1.6404428904428909</v>
      </c>
      <c r="AL27">
        <f>INDEX(LINEST(TablePBLFR58[CU11],TablePBLFR58[RCR]^{1,2,3}),1,2)</f>
        <v>2.0798368298368373</v>
      </c>
      <c r="AM27">
        <f>INDEX(LINEST(TablePBLFR58[CU12],TablePBLFR58[RCR]^{1,2,3}),1,2)</f>
        <v>1.2004662004662017</v>
      </c>
      <c r="AN27">
        <f>INDEX(LINEST(TablePBLFR58[CU13],TablePBLFR58[RCR]^{1,2,3}),1,2)</f>
        <v>1.3927738927738988</v>
      </c>
      <c r="AO27">
        <f>INDEX(LINEST(TablePBLFR58[CU14],TablePBLFR58[RCR]^{1,2,3}),1,2)</f>
        <v>1.7523310023310075</v>
      </c>
      <c r="AQ27" t="s">
        <v>219</v>
      </c>
      <c r="AR27" t="e">
        <f>INDEX(LINEST(Table1x43060[CU],Table1x43060[RCR]^{1,2,3}),1,2)</f>
        <v>#VALUE!</v>
      </c>
      <c r="AS27" t="e">
        <f>INDEX(LINEST(Table1x43060[CU1],Table1x43060[RCR]^{1,2,3}),1,2)</f>
        <v>#VALUE!</v>
      </c>
      <c r="AT27" t="e">
        <f>INDEX(LINEST(Table1x43060[CU2],Table1x43060[RCR]^{1,2,3}),1,2)</f>
        <v>#VALUE!</v>
      </c>
      <c r="AU27" t="e">
        <f>INDEX(LINEST(Table1x43060[CU3],Table1x43060[RCR]^{1,2,3}),1,2)</f>
        <v>#VALUE!</v>
      </c>
      <c r="AV27" t="e">
        <f>INDEX(LINEST(Table1x43060[CU4],Table1x43060[RCR]^{1,2,3}),1,2)</f>
        <v>#VALUE!</v>
      </c>
      <c r="AW27" t="e">
        <f>INDEX(LINEST(Table1x43060[CU5],Table1x43060[RCR]^{1,2,3}),1,2)</f>
        <v>#VALUE!</v>
      </c>
      <c r="AX27" t="e">
        <f>INDEX(LINEST(Table1x43060[CU6],Table1x43060[RCR]^{1,2,3}),1,2)</f>
        <v>#VALUE!</v>
      </c>
      <c r="AY27" t="e">
        <f>INDEX(LINEST(Table1x43060[CU7],Table1x43060[RCR]^{1,2,3}),1,2)</f>
        <v>#VALUE!</v>
      </c>
      <c r="AZ27" t="e">
        <f>INDEX(LINEST(Table1x43060[CU8],Table1x43060[RCR]^{1,2,3}),1,2)</f>
        <v>#VALUE!</v>
      </c>
      <c r="BA27" t="e">
        <f>INDEX(LINEST(Table1x43060[CU9],Table1x43060[RCR]^{1,2,3}),1,2)</f>
        <v>#VALUE!</v>
      </c>
      <c r="BB27" t="e">
        <f>INDEX(LINEST(Table1x43060[CU10],Table1x43060[RCR]^{1,2,3}),1,2)</f>
        <v>#VALUE!</v>
      </c>
      <c r="BC27" t="e">
        <f>INDEX(LINEST(Table1x43060[CU11],Table1x43060[RCR]^{1,2,3}),1,2)</f>
        <v>#VALUE!</v>
      </c>
      <c r="BD27" t="e">
        <f>INDEX(LINEST(Table1x43060[CU12],Table1x43060[RCR]^{1,2,3}),1,2)</f>
        <v>#VALUE!</v>
      </c>
      <c r="BE27" t="e">
        <f>INDEX(LINEST(Table1x43060[CU13],Table1x43060[RCR]^{1,2,3}),1,2)</f>
        <v>#VALUE!</v>
      </c>
      <c r="BF27" t="e">
        <f>INDEX(LINEST(Table1x43060[CU14],Table1x43060[RCR]^{1,2,3}),1,2)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INDEX(LINEST(TablePBL51[CU],TablePBL51[RCR]^{1,2,3}),1,3)</f>
        <v>-16.885003885003893</v>
      </c>
      <c r="K28">
        <f>INDEX(LINEST(TablePBL51[CU1],TablePBL51[RCR]^{1,2,3}),1,3)</f>
        <v>-21.402486402486399</v>
      </c>
      <c r="L28">
        <f>INDEX(LINEST(TablePBL51[CU2],TablePBL51[RCR]^{1,2,3}),1,3)</f>
        <v>-25.029526029526025</v>
      </c>
      <c r="M28">
        <f>INDEX(LINEST(TablePBL51[CU3],TablePBL51[RCR]^{1,2,3}),1,3)</f>
        <v>-16.068764568764589</v>
      </c>
      <c r="N28">
        <f>INDEX(LINEST(TablePBL51[CU4],TablePBL51[RCR]^{1,2,3}),1,3)</f>
        <v>-20.244366744366783</v>
      </c>
      <c r="O28">
        <f>INDEX(LINEST(TablePBL51[CU5],TablePBL51[RCR]^{1,2,3}),1,3)</f>
        <v>-23.593240093240123</v>
      </c>
      <c r="P28">
        <f>INDEX(LINEST(TablePBL51[CU6],TablePBL51[RCR]^{1,2,3}),1,3)</f>
        <v>-14.972804972804973</v>
      </c>
      <c r="Q28">
        <f>INDEX(LINEST(TablePBL51[CU7],TablePBL51[RCR]^{1,2,3}),1,3)</f>
        <v>-18.44871794871796</v>
      </c>
      <c r="R28">
        <f>INDEX(LINEST(TablePBL51[CU8],TablePBL51[RCR]^{1,2,3}),1,3)</f>
        <v>-21.454933954933949</v>
      </c>
      <c r="S28">
        <f>INDEX(LINEST(TablePBL51[CU9],TablePBL51[RCR]^{1,2,3}),1,3)</f>
        <v>-14.079642579642584</v>
      </c>
      <c r="T28">
        <f>INDEX(LINEST(TablePBL51[CU10],TablePBL51[RCR]^{1,2,3}),1,3)</f>
        <v>-17.02020202020201</v>
      </c>
      <c r="U28">
        <f>INDEX(LINEST(TablePBL51[CU11],TablePBL51[RCR]^{1,2,3}),1,3)</f>
        <v>-19.495337995338012</v>
      </c>
      <c r="V28">
        <f>INDEX(LINEST(TablePBL51[CU12],TablePBL51[RCR]^{1,2,3}),1,3)</f>
        <v>-13.738150738150747</v>
      </c>
      <c r="W28">
        <f>INDEX(LINEST(TablePBL51[CU13],TablePBL51[RCR]^{1,2,3}),1,3)</f>
        <v>-16.029526029526039</v>
      </c>
      <c r="X28">
        <f>INDEX(LINEST(TablePBL51[CU14],TablePBL51[RCR]^{1,2,3}),1,3)</f>
        <v>-18.207459207459209</v>
      </c>
      <c r="Z28" t="s">
        <v>220</v>
      </c>
      <c r="AA28">
        <f>INDEX(LINEST(TablePBLFR58[CU],TablePBLFR58[RCR]^{1,2,3}),1,3)</f>
        <v>-17.632867132867119</v>
      </c>
      <c r="AB28">
        <f>INDEX(LINEST(TablePBLFR58[CU1],TablePBLFR58[RCR]^{1,2,3}),1,3)</f>
        <v>-22.110722610722643</v>
      </c>
      <c r="AC28">
        <f>INDEX(LINEST(TablePBLFR58[CU2],TablePBLFR58[RCR]^{1,2,3}),1,3)</f>
        <v>-25.68997668997671</v>
      </c>
      <c r="AD28">
        <f>INDEX(LINEST(TablePBLFR58[CU3],TablePBLFR58[RCR]^{1,2,3}),1,3)</f>
        <v>-16.775446775446781</v>
      </c>
      <c r="AE28">
        <f>INDEX(LINEST(TablePBLFR58[CU4],TablePBLFR58[RCR]^{1,2,3}),1,3)</f>
        <v>-20.608780108780142</v>
      </c>
      <c r="AF28">
        <f>INDEX(LINEST(TablePBLFR58[CU5],TablePBLFR58[RCR]^{1,2,3}),1,3)</f>
        <v>-24.057109557109566</v>
      </c>
      <c r="AG28">
        <f>INDEX(LINEST(TablePBLFR58[CU6],TablePBLFR58[RCR]^{1,2,3}),1,3)</f>
        <v>-15.883838383838384</v>
      </c>
      <c r="AH28">
        <f>INDEX(LINEST(TablePBLFR58[CU7],TablePBLFR58[RCR]^{1,2,3}),1,3)</f>
        <v>-18.738150738150736</v>
      </c>
      <c r="AI28">
        <f>INDEX(LINEST(TablePBLFR58[CU8],TablePBLFR58[RCR]^{1,2,3}),1,3)</f>
        <v>-22.219114219114257</v>
      </c>
      <c r="AJ28">
        <f>INDEX(LINEST(TablePBLFR58[CU9],TablePBLFR58[RCR]^{1,2,3}),1,3)</f>
        <v>-14.827505827505844</v>
      </c>
      <c r="AK28">
        <f>INDEX(LINEST(TablePBLFR58[CU10],TablePBLFR58[RCR]^{1,2,3}),1,3)</f>
        <v>-17.690365190365181</v>
      </c>
      <c r="AL28">
        <f>INDEX(LINEST(TablePBLFR58[CU11],TablePBLFR58[RCR]^{1,2,3}),1,3)</f>
        <v>-20.465034965034988</v>
      </c>
      <c r="AM28">
        <f>INDEX(LINEST(TablePBLFR58[CU12],TablePBLFR58[RCR]^{1,2,3}),1,3)</f>
        <v>-14.121600621600619</v>
      </c>
      <c r="AN28">
        <f>INDEX(LINEST(TablePBLFR58[CU13],TablePBLFR58[RCR]^{1,2,3}),1,3)</f>
        <v>-16.049339549339571</v>
      </c>
      <c r="AO28">
        <f>INDEX(LINEST(TablePBLFR58[CU14],TablePBLFR58[RCR]^{1,2,3}),1,3)</f>
        <v>-18.385392385392397</v>
      </c>
      <c r="AQ28" t="s">
        <v>220</v>
      </c>
      <c r="AR28" t="e">
        <f>INDEX(LINEST(Table1x43060[CU],Table1x43060[RCR]^{1,2,3}),1,3)</f>
        <v>#VALUE!</v>
      </c>
      <c r="AS28" t="e">
        <f>INDEX(LINEST(Table1x43060[CU1],Table1x43060[RCR]^{1,2,3}),1,3)</f>
        <v>#VALUE!</v>
      </c>
      <c r="AT28" t="e">
        <f>INDEX(LINEST(Table1x43060[CU2],Table1x43060[RCR]^{1,2,3}),1,3)</f>
        <v>#VALUE!</v>
      </c>
      <c r="AU28" t="e">
        <f>INDEX(LINEST(Table1x43060[CU3],Table1x43060[RCR]^{1,2,3}),1,3)</f>
        <v>#VALUE!</v>
      </c>
      <c r="AV28" t="e">
        <f>INDEX(LINEST(Table1x43060[CU4],Table1x43060[RCR]^{1,2,3}),1,3)</f>
        <v>#VALUE!</v>
      </c>
      <c r="AW28" t="e">
        <f>INDEX(LINEST(Table1x43060[CU5],Table1x43060[RCR]^{1,2,3}),1,3)</f>
        <v>#VALUE!</v>
      </c>
      <c r="AX28" t="e">
        <f>INDEX(LINEST(Table1x43060[CU6],Table1x43060[RCR]^{1,2,3}),1,3)</f>
        <v>#VALUE!</v>
      </c>
      <c r="AY28" t="e">
        <f>INDEX(LINEST(Table1x43060[CU7],Table1x43060[RCR]^{1,2,3}),1,3)</f>
        <v>#VALUE!</v>
      </c>
      <c r="AZ28" t="e">
        <f>INDEX(LINEST(Table1x43060[CU8],Table1x43060[RCR]^{1,2,3}),1,3)</f>
        <v>#VALUE!</v>
      </c>
      <c r="BA28" t="e">
        <f>INDEX(LINEST(Table1x43060[CU9],Table1x43060[RCR]^{1,2,3}),1,3)</f>
        <v>#VALUE!</v>
      </c>
      <c r="BB28" t="e">
        <f>INDEX(LINEST(Table1x43060[CU10],Table1x43060[RCR]^{1,2,3}),1,3)</f>
        <v>#VALUE!</v>
      </c>
      <c r="BC28" t="e">
        <f>INDEX(LINEST(Table1x43060[CU11],Table1x43060[RCR]^{1,2,3}),1,3)</f>
        <v>#VALUE!</v>
      </c>
      <c r="BD28" t="e">
        <f>INDEX(LINEST(Table1x43060[CU12],Table1x43060[RCR]^{1,2,3}),1,3)</f>
        <v>#VALUE!</v>
      </c>
      <c r="BE28" t="e">
        <f>INDEX(LINEST(Table1x43060[CU13],Table1x43060[RCR]^{1,2,3}),1,3)</f>
        <v>#VALUE!</v>
      </c>
      <c r="BF28" t="e">
        <f>INDEX(LINEST(Table1x43060[CU14],Table1x43060[RCR]^{1,2,3}),1,3)</f>
        <v>#VALUE!</v>
      </c>
    </row>
    <row r="29" spans="1:63" x14ac:dyDescent="0.25">
      <c r="C29" s="3"/>
      <c r="H29" s="5"/>
      <c r="I29" t="s">
        <v>221</v>
      </c>
      <c r="J29">
        <f>INDEX(LINEST(TablePBL51[CU],TablePBL51[RCR]^{1,2,3}),1,4)</f>
        <v>119.15384615384616</v>
      </c>
      <c r="K29">
        <f>INDEX(LINEST(TablePBL51[CU1],TablePBL51[RCR]^{1,2,3}),1,4)</f>
        <v>119.03496503496501</v>
      </c>
      <c r="L29">
        <f>INDEX(LINEST(TablePBL51[CU2],TablePBL51[RCR]^{1,2,3}),1,4)</f>
        <v>118.67832167832164</v>
      </c>
      <c r="M29">
        <f>INDEX(LINEST(TablePBL51[CU3],TablePBL51[RCR]^{1,2,3}),1,4)</f>
        <v>116.24475524475524</v>
      </c>
      <c r="N29">
        <f>INDEX(LINEST(TablePBL51[CU4],TablePBL51[RCR]^{1,2,3}),1,4)</f>
        <v>116.04895104895107</v>
      </c>
      <c r="O29">
        <f>INDEX(LINEST(TablePBL51[CU5],TablePBL51[RCR]^{1,2,3}),1,4)</f>
        <v>115.67832167832169</v>
      </c>
      <c r="P29">
        <f>INDEX(LINEST(TablePBL51[CU6],TablePBL51[RCR]^{1,2,3}),1,4)</f>
        <v>110.98601398601396</v>
      </c>
      <c r="Q29">
        <f>INDEX(LINEST(TablePBL51[CU7],TablePBL51[RCR]^{1,2,3}),1,4)</f>
        <v>110.91608391608389</v>
      </c>
      <c r="R29">
        <f>INDEX(LINEST(TablePBL51[CU8],TablePBL51[RCR]^{1,2,3}),1,4)</f>
        <v>110.69930069930066</v>
      </c>
      <c r="S29">
        <f>INDEX(LINEST(TablePBL51[CU9],TablePBL51[RCR]^{1,2,3}),1,4)</f>
        <v>106.07692307692307</v>
      </c>
      <c r="T29">
        <f>INDEX(LINEST(TablePBL51[CU10],TablePBL51[RCR]^{1,2,3}),1,4)</f>
        <v>106.11188811188811</v>
      </c>
      <c r="U29">
        <f>INDEX(LINEST(TablePBL51[CU11],TablePBL51[RCR]^{1,2,3}),1,4)</f>
        <v>105.82517482517484</v>
      </c>
      <c r="V29">
        <f>INDEX(LINEST(TablePBL51[CU12],TablePBL51[RCR]^{1,2,3}),1,4)</f>
        <v>102.30769230769229</v>
      </c>
      <c r="W29">
        <f>INDEX(LINEST(TablePBL51[CU13],TablePBL51[RCR]^{1,2,3}),1,4)</f>
        <v>102.25174825174827</v>
      </c>
      <c r="X29">
        <f>INDEX(LINEST(TablePBL51[CU14],TablePBL51[RCR]^{1,2,3}),1,4)</f>
        <v>102.20279720279719</v>
      </c>
      <c r="Z29" t="s">
        <v>221</v>
      </c>
      <c r="AA29">
        <f>INDEX(LINEST(TablePBLFR58[CU],TablePBLFR58[RCR]^{1,2,3}),1,4)</f>
        <v>118.9650349650349</v>
      </c>
      <c r="AB29">
        <f>INDEX(LINEST(TablePBLFR58[CU1],TablePBLFR58[RCR]^{1,2,3}),1,4)</f>
        <v>118.51048951048953</v>
      </c>
      <c r="AC29">
        <f>INDEX(LINEST(TablePBLFR58[CU2],TablePBLFR58[RCR]^{1,2,3}),1,4)</f>
        <v>118.02097902097901</v>
      </c>
      <c r="AD29">
        <f>INDEX(LINEST(TablePBLFR58[CU3],TablePBLFR58[RCR]^{1,2,3}),1,4)</f>
        <v>115.71328671328669</v>
      </c>
      <c r="AE29">
        <f>INDEX(LINEST(TablePBLFR58[CU4],TablePBLFR58[RCR]^{1,2,3}),1,4)</f>
        <v>115.44755244755245</v>
      </c>
      <c r="AF29">
        <f>INDEX(LINEST(TablePBLFR58[CU5],TablePBLFR58[RCR]^{1,2,3}),1,4)</f>
        <v>114.89510489510488</v>
      </c>
      <c r="AG29">
        <f>INDEX(LINEST(TablePBLFR58[CU6],TablePBLFR58[RCR]^{1,2,3}),1,4)</f>
        <v>109.81118881118879</v>
      </c>
      <c r="AH29">
        <f>INDEX(LINEST(TablePBLFR58[CU7],TablePBLFR58[RCR]^{1,2,3}),1,4)</f>
        <v>109.58041958041954</v>
      </c>
      <c r="AI29">
        <f>INDEX(LINEST(TablePBLFR58[CU8],TablePBLFR58[RCR]^{1,2,3}),1,4)</f>
        <v>109.50349650349652</v>
      </c>
      <c r="AJ29">
        <f>INDEX(LINEST(TablePBLFR58[CU9],TablePBLFR58[RCR]^{1,2,3}),1,4)</f>
        <v>104.88811188811188</v>
      </c>
      <c r="AK29">
        <f>INDEX(LINEST(TablePBLFR58[CU10],TablePBLFR58[RCR]^{1,2,3}),1,4)</f>
        <v>104.6223776223776</v>
      </c>
      <c r="AL29">
        <f>INDEX(LINEST(TablePBLFR58[CU11],TablePBLFR58[RCR]^{1,2,3}),1,4)</f>
        <v>104.72027972027973</v>
      </c>
      <c r="AM29">
        <f>INDEX(LINEST(TablePBLFR58[CU12],TablePBLFR58[RCR]^{1,2,3}),1,4)</f>
        <v>99.937062937062919</v>
      </c>
      <c r="AN29">
        <f>INDEX(LINEST(TablePBLFR58[CU13],TablePBLFR58[RCR]^{1,2,3}),1,4)</f>
        <v>99.902097902097907</v>
      </c>
      <c r="AO29">
        <f>INDEX(LINEST(TablePBLFR58[CU14],TablePBLFR58[RCR]^{1,2,3}),1,4)</f>
        <v>99.811188811188799</v>
      </c>
      <c r="AQ29" t="s">
        <v>221</v>
      </c>
      <c r="AR29" t="e">
        <f>INDEX(LINEST(Table1x43060[CU],Table1x43060[RCR]^{1,2,3}),1,4)</f>
        <v>#VALUE!</v>
      </c>
      <c r="AS29" t="e">
        <f>INDEX(LINEST(Table1x43060[CU1],Table1x43060[RCR]^{1,2,3}),1,4)</f>
        <v>#VALUE!</v>
      </c>
      <c r="AT29" t="e">
        <f>INDEX(LINEST(Table1x43060[CU2],Table1x43060[RCR]^{1,2,3}),1,4)</f>
        <v>#VALUE!</v>
      </c>
      <c r="AU29" t="e">
        <f>INDEX(LINEST(Table1x43060[CU3],Table1x43060[RCR]^{1,2,3}),1,4)</f>
        <v>#VALUE!</v>
      </c>
      <c r="AV29" t="e">
        <f>INDEX(LINEST(Table1x43060[CU4],Table1x43060[RCR]^{1,2,3}),1,4)</f>
        <v>#VALUE!</v>
      </c>
      <c r="AW29" t="e">
        <f>INDEX(LINEST(Table1x43060[CU5],Table1x43060[RCR]^{1,2,3}),1,4)</f>
        <v>#VALUE!</v>
      </c>
      <c r="AX29" t="e">
        <f>INDEX(LINEST(Table1x43060[CU6],Table1x43060[RCR]^{1,2,3}),1,4)</f>
        <v>#VALUE!</v>
      </c>
      <c r="AY29" t="e">
        <f>INDEX(LINEST(Table1x43060[CU7],Table1x43060[RCR]^{1,2,3}),1,4)</f>
        <v>#VALUE!</v>
      </c>
      <c r="AZ29" t="e">
        <f>INDEX(LINEST(Table1x43060[CU8],Table1x43060[RCR]^{1,2,3}),1,4)</f>
        <v>#VALUE!</v>
      </c>
      <c r="BA29" t="e">
        <f>INDEX(LINEST(Table1x43060[CU9],Table1x43060[RCR]^{1,2,3}),1,4)</f>
        <v>#VALUE!</v>
      </c>
      <c r="BB29" t="e">
        <f>INDEX(LINEST(Table1x43060[CU10],Table1x43060[RCR]^{1,2,3}),1,4)</f>
        <v>#VALUE!</v>
      </c>
      <c r="BC29" t="e">
        <f>INDEX(LINEST(Table1x43060[CU11],Table1x43060[RCR]^{1,2,3}),1,4)</f>
        <v>#VALUE!</v>
      </c>
      <c r="BD29" t="e">
        <f>INDEX(LINEST(Table1x43060[CU12],Table1x43060[RCR]^{1,2,3}),1,4)</f>
        <v>#VALUE!</v>
      </c>
      <c r="BE29" t="e">
        <f>INDEX(LINEST(Table1x43060[CU13],Table1x43060[RCR]^{1,2,3}),1,4)</f>
        <v>#VALUE!</v>
      </c>
      <c r="BF29" t="e">
        <f>INDEX(LINEST(Table1x43060[CU14],Table1x43060[RCR]^{1,2,3}),1,4)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114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116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116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116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116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116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116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116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116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116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116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116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1.28</v>
      </c>
      <c r="F44" s="12">
        <f>E44*(C14-C15)</f>
        <v>-3.2</v>
      </c>
      <c r="H44" t="s">
        <v>25</v>
      </c>
      <c r="I44">
        <v>30</v>
      </c>
      <c r="J44">
        <v>10</v>
      </c>
      <c r="K44" t="s">
        <v>116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</v>
      </c>
      <c r="F45" s="12">
        <f>E45*(C14-C15)</f>
        <v>-3.25</v>
      </c>
      <c r="H45" t="s">
        <v>27</v>
      </c>
      <c r="I45">
        <v>10</v>
      </c>
      <c r="J45">
        <v>50</v>
      </c>
      <c r="K45" t="s">
        <v>116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116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116</v>
      </c>
      <c r="L47" t="e">
        <f>X25</f>
        <v>#DIV/0!</v>
      </c>
      <c r="N47" t="s">
        <v>11</v>
      </c>
      <c r="P47">
        <v>80</v>
      </c>
      <c r="S47">
        <v>70</v>
      </c>
      <c r="W47">
        <v>50</v>
      </c>
      <c r="Z47">
        <v>30</v>
      </c>
      <c r="AC47">
        <v>10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s="20" t="s">
        <v>13</v>
      </c>
      <c r="I48" s="20">
        <v>80</v>
      </c>
      <c r="J48" s="20">
        <v>50</v>
      </c>
      <c r="K48" s="20" t="s">
        <v>115</v>
      </c>
      <c r="L48" s="20" t="e">
        <f>AA25</f>
        <v>#DIV/0!</v>
      </c>
      <c r="N48" t="s">
        <v>12</v>
      </c>
      <c r="O48">
        <v>50</v>
      </c>
      <c r="P48">
        <v>30</v>
      </c>
      <c r="Q48">
        <v>10</v>
      </c>
      <c r="R48">
        <v>50</v>
      </c>
      <c r="S48">
        <v>30</v>
      </c>
      <c r="T48">
        <v>10</v>
      </c>
      <c r="U48">
        <v>50</v>
      </c>
      <c r="V48">
        <v>30</v>
      </c>
      <c r="W48">
        <v>10</v>
      </c>
      <c r="X48">
        <v>50</v>
      </c>
      <c r="Y48">
        <v>30</v>
      </c>
      <c r="Z48">
        <v>10</v>
      </c>
      <c r="AA48">
        <v>50</v>
      </c>
      <c r="AB48">
        <v>30</v>
      </c>
      <c r="AC48">
        <v>10</v>
      </c>
    </row>
    <row r="49" spans="1:29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115</v>
      </c>
      <c r="L49" t="e">
        <f>AB25</f>
        <v>#DIV/0!</v>
      </c>
    </row>
    <row r="50" spans="1:29" ht="15" customHeight="1" x14ac:dyDescent="0.25">
      <c r="H50" t="s">
        <v>17</v>
      </c>
      <c r="I50">
        <v>80</v>
      </c>
      <c r="J50">
        <v>10</v>
      </c>
      <c r="K50" t="s">
        <v>115</v>
      </c>
      <c r="L50" t="e">
        <f>AC25</f>
        <v>#DIV/0!</v>
      </c>
      <c r="N50">
        <v>0</v>
      </c>
      <c r="O50">
        <v>119</v>
      </c>
      <c r="P50">
        <v>119</v>
      </c>
      <c r="Q50">
        <v>119</v>
      </c>
      <c r="R50">
        <v>116</v>
      </c>
      <c r="S50">
        <v>116</v>
      </c>
      <c r="T50">
        <v>116</v>
      </c>
      <c r="U50">
        <v>110</v>
      </c>
      <c r="V50">
        <v>110</v>
      </c>
      <c r="W50">
        <v>110</v>
      </c>
      <c r="X50">
        <v>105</v>
      </c>
      <c r="Y50">
        <v>105</v>
      </c>
      <c r="Z50">
        <v>105</v>
      </c>
      <c r="AA50">
        <v>100</v>
      </c>
      <c r="AB50">
        <v>100</v>
      </c>
      <c r="AC50">
        <v>100</v>
      </c>
    </row>
    <row r="51" spans="1:29" x14ac:dyDescent="0.25">
      <c r="H51" t="s">
        <v>18</v>
      </c>
      <c r="I51">
        <v>70</v>
      </c>
      <c r="J51">
        <v>50</v>
      </c>
      <c r="K51" t="s">
        <v>115</v>
      </c>
      <c r="L51" t="e">
        <f>AD25</f>
        <v>#DIV/0!</v>
      </c>
      <c r="N51">
        <v>1</v>
      </c>
      <c r="O51">
        <v>103</v>
      </c>
      <c r="P51">
        <v>98</v>
      </c>
      <c r="Q51">
        <v>94</v>
      </c>
      <c r="R51">
        <v>100</v>
      </c>
      <c r="S51">
        <v>96</v>
      </c>
      <c r="T51">
        <v>92</v>
      </c>
      <c r="U51">
        <v>95</v>
      </c>
      <c r="V51">
        <v>92</v>
      </c>
      <c r="W51">
        <v>89</v>
      </c>
      <c r="X51">
        <v>91</v>
      </c>
      <c r="Y51">
        <v>88</v>
      </c>
      <c r="Z51">
        <v>86</v>
      </c>
      <c r="AA51">
        <v>87</v>
      </c>
      <c r="AB51">
        <v>85</v>
      </c>
      <c r="AC51">
        <v>83</v>
      </c>
    </row>
    <row r="52" spans="1:29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115</v>
      </c>
      <c r="L52" t="e">
        <f>AE25</f>
        <v>#DIV/0!</v>
      </c>
      <c r="N52">
        <v>2</v>
      </c>
      <c r="O52">
        <v>89</v>
      </c>
      <c r="P52">
        <v>82</v>
      </c>
      <c r="Q52">
        <v>76</v>
      </c>
      <c r="R52">
        <v>87</v>
      </c>
      <c r="S52">
        <v>81</v>
      </c>
      <c r="T52">
        <v>75</v>
      </c>
      <c r="U52">
        <v>83</v>
      </c>
      <c r="V52">
        <v>78</v>
      </c>
      <c r="W52">
        <v>73</v>
      </c>
      <c r="X52">
        <v>80</v>
      </c>
      <c r="Y52">
        <v>75</v>
      </c>
      <c r="Z52">
        <v>71</v>
      </c>
      <c r="AA52">
        <v>76</v>
      </c>
      <c r="AB52">
        <v>73</v>
      </c>
      <c r="AC52">
        <v>69</v>
      </c>
    </row>
    <row r="53" spans="1:29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115</v>
      </c>
      <c r="L53" t="e">
        <f>AF25</f>
        <v>#DIV/0!</v>
      </c>
      <c r="N53">
        <v>3</v>
      </c>
      <c r="O53">
        <v>78</v>
      </c>
      <c r="P53">
        <v>70</v>
      </c>
      <c r="Q53">
        <v>63</v>
      </c>
      <c r="R53">
        <v>77</v>
      </c>
      <c r="S53">
        <v>69</v>
      </c>
      <c r="T53">
        <v>63</v>
      </c>
      <c r="U53">
        <v>73</v>
      </c>
      <c r="V53">
        <v>67</v>
      </c>
      <c r="W53">
        <v>61</v>
      </c>
      <c r="X53">
        <v>70</v>
      </c>
      <c r="Y53">
        <v>65</v>
      </c>
      <c r="Z53">
        <v>60</v>
      </c>
      <c r="AA53">
        <v>67</v>
      </c>
      <c r="AB53">
        <v>63</v>
      </c>
      <c r="AC53">
        <v>59</v>
      </c>
    </row>
    <row r="54" spans="1:29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115</v>
      </c>
      <c r="L54" t="e">
        <f>AG25</f>
        <v>#DIV/0!</v>
      </c>
      <c r="N54">
        <v>4</v>
      </c>
      <c r="O54">
        <v>69</v>
      </c>
      <c r="P54">
        <v>60</v>
      </c>
      <c r="Q54">
        <v>54</v>
      </c>
      <c r="R54">
        <v>68</v>
      </c>
      <c r="S54">
        <v>60</v>
      </c>
      <c r="T54">
        <v>53</v>
      </c>
      <c r="U54">
        <v>65</v>
      </c>
      <c r="V54">
        <v>58</v>
      </c>
      <c r="W54">
        <v>52</v>
      </c>
      <c r="X54">
        <v>62</v>
      </c>
      <c r="Y54">
        <v>56</v>
      </c>
      <c r="Z54">
        <v>51</v>
      </c>
      <c r="AA54">
        <v>60</v>
      </c>
      <c r="AB54">
        <v>55</v>
      </c>
      <c r="AC54">
        <v>50</v>
      </c>
    </row>
    <row r="55" spans="1:29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115</v>
      </c>
      <c r="L55" t="e">
        <f>AH25</f>
        <v>#DIV/0!</v>
      </c>
      <c r="N55">
        <v>5</v>
      </c>
      <c r="O55">
        <v>62</v>
      </c>
      <c r="P55">
        <v>53</v>
      </c>
      <c r="Q55">
        <v>46</v>
      </c>
      <c r="R55">
        <v>61</v>
      </c>
      <c r="S55">
        <v>52</v>
      </c>
      <c r="T55">
        <v>46</v>
      </c>
      <c r="U55">
        <v>58</v>
      </c>
      <c r="V55">
        <v>51</v>
      </c>
      <c r="W55">
        <v>45</v>
      </c>
      <c r="X55">
        <v>56</v>
      </c>
      <c r="Y55">
        <v>50</v>
      </c>
      <c r="Z55">
        <v>44</v>
      </c>
      <c r="AA55">
        <v>54</v>
      </c>
      <c r="AB55">
        <v>48</v>
      </c>
      <c r="AC55">
        <v>44</v>
      </c>
    </row>
    <row r="56" spans="1:29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115</v>
      </c>
      <c r="L56" t="e">
        <f>AI25</f>
        <v>#DIV/0!</v>
      </c>
      <c r="N56">
        <v>6</v>
      </c>
      <c r="O56">
        <v>56</v>
      </c>
      <c r="P56">
        <v>47</v>
      </c>
      <c r="Q56">
        <v>40</v>
      </c>
      <c r="R56">
        <v>55</v>
      </c>
      <c r="S56">
        <v>46</v>
      </c>
      <c r="T56">
        <v>40</v>
      </c>
      <c r="U56">
        <v>53</v>
      </c>
      <c r="V56">
        <v>45</v>
      </c>
      <c r="W56">
        <v>39</v>
      </c>
      <c r="X56">
        <v>51</v>
      </c>
      <c r="Y56">
        <v>44</v>
      </c>
      <c r="Z56">
        <v>39</v>
      </c>
      <c r="AA56">
        <v>49</v>
      </c>
      <c r="AB56">
        <v>43</v>
      </c>
      <c r="AC56">
        <v>38</v>
      </c>
    </row>
    <row r="57" spans="1:29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115</v>
      </c>
      <c r="L57" t="e">
        <f>AJ25</f>
        <v>#DIV/0!</v>
      </c>
      <c r="N57">
        <v>7</v>
      </c>
      <c r="O57">
        <v>51</v>
      </c>
      <c r="P57">
        <v>42</v>
      </c>
      <c r="Q57">
        <v>36</v>
      </c>
      <c r="R57">
        <v>50</v>
      </c>
      <c r="S57">
        <v>41</v>
      </c>
      <c r="T57">
        <v>35</v>
      </c>
      <c r="U57">
        <v>48</v>
      </c>
      <c r="V57">
        <v>40</v>
      </c>
      <c r="W57">
        <v>35</v>
      </c>
      <c r="X57">
        <v>46</v>
      </c>
      <c r="Y57">
        <v>40</v>
      </c>
      <c r="Z57">
        <v>35</v>
      </c>
      <c r="AA57">
        <v>45</v>
      </c>
      <c r="AB57">
        <v>39</v>
      </c>
      <c r="AC57">
        <v>34</v>
      </c>
    </row>
    <row r="58" spans="1:29" x14ac:dyDescent="0.25">
      <c r="H58" t="s">
        <v>26</v>
      </c>
      <c r="I58">
        <v>30</v>
      </c>
      <c r="J58">
        <v>30</v>
      </c>
      <c r="K58" t="s">
        <v>115</v>
      </c>
      <c r="L58" t="e">
        <f>AK25</f>
        <v>#DIV/0!</v>
      </c>
      <c r="N58">
        <v>8</v>
      </c>
      <c r="O58">
        <v>46</v>
      </c>
      <c r="P58">
        <v>38</v>
      </c>
      <c r="Q58">
        <v>32</v>
      </c>
      <c r="R58">
        <v>45</v>
      </c>
      <c r="S58">
        <v>37</v>
      </c>
      <c r="T58">
        <v>31</v>
      </c>
      <c r="U58">
        <v>44</v>
      </c>
      <c r="V58">
        <v>36</v>
      </c>
      <c r="W58">
        <v>31</v>
      </c>
      <c r="X58">
        <v>42</v>
      </c>
      <c r="Y58">
        <v>36</v>
      </c>
      <c r="Z58">
        <v>31</v>
      </c>
      <c r="AA58">
        <v>41</v>
      </c>
      <c r="AB58">
        <v>35</v>
      </c>
      <c r="AC58">
        <v>31</v>
      </c>
    </row>
    <row r="59" spans="1:29" x14ac:dyDescent="0.25">
      <c r="H59" t="s">
        <v>25</v>
      </c>
      <c r="I59">
        <v>30</v>
      </c>
      <c r="J59">
        <v>10</v>
      </c>
      <c r="K59" t="s">
        <v>115</v>
      </c>
      <c r="L59" t="e">
        <f>AL25</f>
        <v>#DIV/0!</v>
      </c>
      <c r="N59">
        <v>9</v>
      </c>
      <c r="O59">
        <v>42</v>
      </c>
      <c r="P59">
        <v>34</v>
      </c>
      <c r="Q59">
        <v>28</v>
      </c>
      <c r="R59">
        <v>42</v>
      </c>
      <c r="S59">
        <v>34</v>
      </c>
      <c r="T59">
        <v>28</v>
      </c>
      <c r="U59">
        <v>40</v>
      </c>
      <c r="V59">
        <v>33</v>
      </c>
      <c r="W59">
        <v>28</v>
      </c>
      <c r="X59">
        <v>39</v>
      </c>
      <c r="Y59">
        <v>33</v>
      </c>
      <c r="Z59">
        <v>28</v>
      </c>
      <c r="AA59">
        <v>38</v>
      </c>
      <c r="AB59">
        <v>32</v>
      </c>
      <c r="AC59">
        <v>28</v>
      </c>
    </row>
    <row r="60" spans="1:29" x14ac:dyDescent="0.25">
      <c r="H60" t="s">
        <v>27</v>
      </c>
      <c r="I60">
        <v>10</v>
      </c>
      <c r="J60">
        <v>50</v>
      </c>
      <c r="K60" t="s">
        <v>115</v>
      </c>
      <c r="L60" t="e">
        <f>AM25</f>
        <v>#DIV/0!</v>
      </c>
      <c r="N60">
        <v>10</v>
      </c>
      <c r="O60">
        <v>39</v>
      </c>
      <c r="P60">
        <v>31</v>
      </c>
      <c r="Q60">
        <v>26</v>
      </c>
      <c r="R60">
        <v>38</v>
      </c>
      <c r="S60">
        <v>31</v>
      </c>
      <c r="T60">
        <v>26</v>
      </c>
      <c r="U60">
        <v>37</v>
      </c>
      <c r="V60">
        <v>30</v>
      </c>
      <c r="W60">
        <v>25</v>
      </c>
      <c r="X60">
        <v>36</v>
      </c>
      <c r="Y60">
        <v>30</v>
      </c>
      <c r="Z60">
        <v>25</v>
      </c>
      <c r="AA60">
        <v>35</v>
      </c>
      <c r="AB60">
        <v>29</v>
      </c>
      <c r="AC60">
        <v>25</v>
      </c>
    </row>
    <row r="61" spans="1:29" x14ac:dyDescent="0.25">
      <c r="H61" t="s">
        <v>28</v>
      </c>
      <c r="I61">
        <v>10</v>
      </c>
      <c r="J61">
        <v>30</v>
      </c>
      <c r="K61" t="s">
        <v>115</v>
      </c>
      <c r="L61" t="e">
        <f>AN25</f>
        <v>#DIV/0!</v>
      </c>
    </row>
    <row r="62" spans="1:29" x14ac:dyDescent="0.25">
      <c r="H62" t="s">
        <v>29</v>
      </c>
      <c r="I62">
        <v>10</v>
      </c>
      <c r="J62">
        <v>10</v>
      </c>
      <c r="K62" t="s">
        <v>115</v>
      </c>
      <c r="L62" t="e">
        <f>AO25</f>
        <v>#DIV/0!</v>
      </c>
    </row>
    <row r="63" spans="1:29" x14ac:dyDescent="0.25">
      <c r="H63" s="20" t="s">
        <v>13</v>
      </c>
      <c r="I63" s="20">
        <v>80</v>
      </c>
      <c r="J63" s="20">
        <v>50</v>
      </c>
      <c r="K63" s="20"/>
      <c r="L63" s="20" t="e">
        <f>AR25</f>
        <v>#VALUE!</v>
      </c>
    </row>
    <row r="64" spans="1:29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408</v>
      </c>
      <c r="J81" s="5">
        <v>837</v>
      </c>
      <c r="K81" s="18">
        <v>8</v>
      </c>
    </row>
    <row r="82" spans="9:22" x14ac:dyDescent="0.25">
      <c r="I82" t="s">
        <v>409</v>
      </c>
      <c r="J82" s="5">
        <v>1950</v>
      </c>
      <c r="K82" s="18">
        <v>17.5</v>
      </c>
    </row>
    <row r="83" spans="9:22" x14ac:dyDescent="0.25">
      <c r="I83" t="s">
        <v>410</v>
      </c>
      <c r="J83" s="5">
        <v>3085</v>
      </c>
      <c r="K83" s="18">
        <v>23</v>
      </c>
    </row>
    <row r="84" spans="9:22" x14ac:dyDescent="0.25">
      <c r="I84" t="s">
        <v>411</v>
      </c>
      <c r="J84" s="5">
        <v>3963</v>
      </c>
      <c r="K84" s="18">
        <v>32</v>
      </c>
    </row>
    <row r="85" spans="9:22" x14ac:dyDescent="0.25">
      <c r="I85" t="s">
        <v>412</v>
      </c>
      <c r="J85" s="5">
        <v>1241</v>
      </c>
      <c r="K85" s="18">
        <v>11</v>
      </c>
    </row>
    <row r="86" spans="9:22" x14ac:dyDescent="0.25">
      <c r="I86" t="s">
        <v>413</v>
      </c>
      <c r="J86" s="5">
        <v>3183</v>
      </c>
      <c r="K86" s="18">
        <v>23</v>
      </c>
    </row>
    <row r="87" spans="9:22" x14ac:dyDescent="0.25">
      <c r="I87" t="s">
        <v>414</v>
      </c>
      <c r="J87" s="5">
        <v>4909</v>
      </c>
      <c r="K87" s="18">
        <v>38</v>
      </c>
      <c r="N87" t="s">
        <v>11</v>
      </c>
      <c r="O87" t="s">
        <v>12</v>
      </c>
      <c r="P87" t="s">
        <v>15</v>
      </c>
      <c r="R87" t="s">
        <v>114</v>
      </c>
      <c r="S87" t="s">
        <v>135</v>
      </c>
      <c r="T87" t="s">
        <v>136</v>
      </c>
      <c r="V87" t="s">
        <v>138</v>
      </c>
    </row>
    <row r="88" spans="9:22" x14ac:dyDescent="0.25">
      <c r="I88" t="s">
        <v>415</v>
      </c>
      <c r="J88" s="5">
        <v>6435</v>
      </c>
      <c r="K88" s="18">
        <v>64</v>
      </c>
      <c r="N88">
        <v>80</v>
      </c>
      <c r="O88">
        <v>50</v>
      </c>
      <c r="P88">
        <v>20</v>
      </c>
      <c r="R88" t="s">
        <v>115</v>
      </c>
      <c r="S88">
        <v>1.26</v>
      </c>
      <c r="T88">
        <v>1.28</v>
      </c>
      <c r="V88">
        <v>0</v>
      </c>
    </row>
    <row r="89" spans="9:22" x14ac:dyDescent="0.25">
      <c r="I89" t="s">
        <v>416</v>
      </c>
      <c r="J89" s="5">
        <v>2305</v>
      </c>
      <c r="K89" s="18">
        <v>18</v>
      </c>
      <c r="N89">
        <v>70</v>
      </c>
      <c r="O89">
        <v>30</v>
      </c>
      <c r="R89" t="s">
        <v>116</v>
      </c>
      <c r="S89" s="11">
        <v>1.3</v>
      </c>
      <c r="T89">
        <v>1.28</v>
      </c>
      <c r="V89">
        <v>90</v>
      </c>
    </row>
    <row r="90" spans="9:22" x14ac:dyDescent="0.25">
      <c r="I90" t="s">
        <v>417</v>
      </c>
      <c r="J90" s="5">
        <v>3832</v>
      </c>
      <c r="K90" s="18">
        <v>32</v>
      </c>
      <c r="N90">
        <v>50</v>
      </c>
      <c r="O90">
        <v>10</v>
      </c>
    </row>
    <row r="91" spans="9:22" x14ac:dyDescent="0.25">
      <c r="I91" t="s">
        <v>418</v>
      </c>
      <c r="J91" s="5">
        <v>4829</v>
      </c>
      <c r="K91" s="18">
        <v>36</v>
      </c>
      <c r="N91">
        <v>30</v>
      </c>
    </row>
    <row r="92" spans="9:22" x14ac:dyDescent="0.25">
      <c r="I92" t="s">
        <v>419</v>
      </c>
      <c r="J92" s="5">
        <v>6705</v>
      </c>
      <c r="K92" s="18">
        <v>46</v>
      </c>
      <c r="N92">
        <v>10</v>
      </c>
    </row>
    <row r="93" spans="9:22" x14ac:dyDescent="0.25">
      <c r="I93" t="s">
        <v>420</v>
      </c>
      <c r="J93" s="5">
        <v>8901</v>
      </c>
      <c r="K93" s="18">
        <v>68</v>
      </c>
    </row>
    <row r="94" spans="9:22" x14ac:dyDescent="0.25">
      <c r="I94" t="s">
        <v>421</v>
      </c>
      <c r="J94" s="5">
        <v>3119</v>
      </c>
      <c r="K94" s="18">
        <v>22</v>
      </c>
    </row>
    <row r="95" spans="9:22" x14ac:dyDescent="0.25">
      <c r="I95" t="s">
        <v>422</v>
      </c>
      <c r="J95" s="5">
        <v>6482</v>
      </c>
      <c r="K95" s="18">
        <v>54</v>
      </c>
    </row>
    <row r="96" spans="9:22" x14ac:dyDescent="0.25">
      <c r="I96" t="s">
        <v>423</v>
      </c>
      <c r="J96" s="5">
        <v>9854</v>
      </c>
      <c r="K96" s="18">
        <v>70</v>
      </c>
    </row>
    <row r="97" spans="9:11" x14ac:dyDescent="0.25">
      <c r="I97" t="s">
        <v>424</v>
      </c>
      <c r="J97" s="5">
        <v>12423</v>
      </c>
      <c r="K97" s="18">
        <v>95</v>
      </c>
    </row>
    <row r="98" spans="9:11" x14ac:dyDescent="0.25">
      <c r="I98" t="s">
        <v>425</v>
      </c>
      <c r="J98" s="5">
        <v>4240</v>
      </c>
      <c r="K98" s="18">
        <v>30</v>
      </c>
    </row>
    <row r="99" spans="9:11" x14ac:dyDescent="0.25">
      <c r="I99" t="s">
        <v>426</v>
      </c>
      <c r="J99" s="5">
        <v>6125</v>
      </c>
      <c r="K99" s="18">
        <v>44</v>
      </c>
    </row>
    <row r="100" spans="9:11" x14ac:dyDescent="0.25">
      <c r="I100" t="s">
        <v>427</v>
      </c>
      <c r="J100" s="5">
        <v>8033</v>
      </c>
      <c r="K100" s="18">
        <v>64</v>
      </c>
    </row>
    <row r="101" spans="9:11" x14ac:dyDescent="0.25">
      <c r="I101" t="s">
        <v>428</v>
      </c>
      <c r="J101" s="5">
        <v>8050</v>
      </c>
      <c r="K101" s="18">
        <v>56</v>
      </c>
    </row>
    <row r="102" spans="9:11" x14ac:dyDescent="0.25">
      <c r="I102" t="s">
        <v>429</v>
      </c>
      <c r="J102" s="5">
        <v>10765</v>
      </c>
      <c r="K102" s="18">
        <v>78</v>
      </c>
    </row>
    <row r="103" spans="9:11" x14ac:dyDescent="0.25">
      <c r="I103" t="s">
        <v>430</v>
      </c>
      <c r="J103" s="5">
        <v>12412</v>
      </c>
      <c r="K103" s="18">
        <v>87</v>
      </c>
    </row>
    <row r="104" spans="9:11" x14ac:dyDescent="0.25">
      <c r="I104" t="s">
        <v>431</v>
      </c>
      <c r="J104" s="5">
        <v>17316</v>
      </c>
      <c r="K104" s="18">
        <v>135</v>
      </c>
    </row>
    <row r="105" spans="9:11" x14ac:dyDescent="0.25">
      <c r="I105" t="s">
        <v>432</v>
      </c>
      <c r="J105" s="5">
        <v>804</v>
      </c>
      <c r="K105" s="18">
        <v>8</v>
      </c>
    </row>
    <row r="106" spans="9:11" x14ac:dyDescent="0.25">
      <c r="I106" t="s">
        <v>433</v>
      </c>
      <c r="J106" s="5">
        <v>1852</v>
      </c>
      <c r="K106" s="18">
        <v>17.5</v>
      </c>
    </row>
    <row r="107" spans="9:11" x14ac:dyDescent="0.25">
      <c r="I107" t="s">
        <v>434</v>
      </c>
      <c r="J107" s="5">
        <v>2960</v>
      </c>
      <c r="K107" s="18">
        <v>23</v>
      </c>
    </row>
    <row r="108" spans="9:11" x14ac:dyDescent="0.25">
      <c r="I108" t="s">
        <v>435</v>
      </c>
      <c r="J108" s="5">
        <v>3804</v>
      </c>
      <c r="K108" s="18">
        <v>32</v>
      </c>
    </row>
    <row r="109" spans="9:11" x14ac:dyDescent="0.25">
      <c r="I109" t="s">
        <v>436</v>
      </c>
      <c r="J109" s="5">
        <v>1191</v>
      </c>
      <c r="K109" s="18">
        <v>11</v>
      </c>
    </row>
    <row r="110" spans="9:11" x14ac:dyDescent="0.25">
      <c r="I110" t="s">
        <v>437</v>
      </c>
      <c r="J110" s="5">
        <v>3055</v>
      </c>
      <c r="K110" s="18">
        <v>23</v>
      </c>
    </row>
    <row r="111" spans="9:11" x14ac:dyDescent="0.25">
      <c r="I111" t="s">
        <v>438</v>
      </c>
      <c r="J111" s="5">
        <v>4711</v>
      </c>
      <c r="K111" s="18">
        <v>38</v>
      </c>
    </row>
    <row r="112" spans="9:11" x14ac:dyDescent="0.25">
      <c r="I112" t="s">
        <v>439</v>
      </c>
      <c r="J112" s="5">
        <v>6176</v>
      </c>
      <c r="K112" s="18">
        <v>64</v>
      </c>
    </row>
    <row r="113" spans="9:11" x14ac:dyDescent="0.25">
      <c r="I113" t="s">
        <v>440</v>
      </c>
      <c r="J113" s="5">
        <v>2212</v>
      </c>
      <c r="K113" s="18">
        <v>18</v>
      </c>
    </row>
    <row r="114" spans="9:11" x14ac:dyDescent="0.25">
      <c r="I114" t="s">
        <v>441</v>
      </c>
      <c r="J114" s="5">
        <v>3640</v>
      </c>
      <c r="K114" s="18">
        <v>32</v>
      </c>
    </row>
    <row r="115" spans="9:11" x14ac:dyDescent="0.25">
      <c r="I115" t="s">
        <v>442</v>
      </c>
      <c r="J115" s="5">
        <v>4635</v>
      </c>
      <c r="K115" s="18">
        <v>36</v>
      </c>
    </row>
    <row r="116" spans="9:11" x14ac:dyDescent="0.25">
      <c r="I116" t="s">
        <v>443</v>
      </c>
      <c r="J116" s="5">
        <v>6436</v>
      </c>
      <c r="K116" s="18">
        <v>46</v>
      </c>
    </row>
    <row r="117" spans="9:11" x14ac:dyDescent="0.25">
      <c r="I117" t="s">
        <v>444</v>
      </c>
      <c r="J117" s="5">
        <v>8543</v>
      </c>
      <c r="K117" s="18">
        <v>68</v>
      </c>
    </row>
    <row r="118" spans="9:11" x14ac:dyDescent="0.25">
      <c r="I118" t="s">
        <v>445</v>
      </c>
      <c r="J118" s="5">
        <v>2994</v>
      </c>
      <c r="K118" s="18">
        <v>22</v>
      </c>
    </row>
    <row r="119" spans="9:11" x14ac:dyDescent="0.25">
      <c r="I119" t="s">
        <v>446</v>
      </c>
      <c r="J119" s="5">
        <v>6221</v>
      </c>
      <c r="K119" s="18">
        <v>54</v>
      </c>
    </row>
    <row r="120" spans="9:11" x14ac:dyDescent="0.25">
      <c r="I120" t="s">
        <v>447</v>
      </c>
      <c r="J120" s="5">
        <v>9457</v>
      </c>
      <c r="K120" s="18">
        <v>70</v>
      </c>
    </row>
    <row r="121" spans="9:11" x14ac:dyDescent="0.25">
      <c r="I121" t="s">
        <v>448</v>
      </c>
      <c r="J121" s="5">
        <v>11923</v>
      </c>
      <c r="K121" s="18">
        <v>95</v>
      </c>
    </row>
    <row r="122" spans="9:11" x14ac:dyDescent="0.25">
      <c r="I122" t="s">
        <v>449</v>
      </c>
      <c r="J122" s="5">
        <v>4070</v>
      </c>
      <c r="K122" s="18">
        <v>30</v>
      </c>
    </row>
    <row r="123" spans="9:11" x14ac:dyDescent="0.25">
      <c r="I123" t="s">
        <v>450</v>
      </c>
      <c r="J123" s="5">
        <v>5878</v>
      </c>
      <c r="K123" s="18">
        <v>44</v>
      </c>
    </row>
    <row r="124" spans="9:11" x14ac:dyDescent="0.25">
      <c r="I124" t="s">
        <v>451</v>
      </c>
      <c r="J124" s="5">
        <v>7709</v>
      </c>
      <c r="K124" s="18">
        <v>64</v>
      </c>
    </row>
    <row r="125" spans="9:11" x14ac:dyDescent="0.25">
      <c r="I125" t="s">
        <v>452</v>
      </c>
      <c r="J125" s="5">
        <v>7726</v>
      </c>
      <c r="K125" s="18">
        <v>56</v>
      </c>
    </row>
    <row r="126" spans="9:11" x14ac:dyDescent="0.25">
      <c r="I126" t="s">
        <v>453</v>
      </c>
      <c r="J126" s="5">
        <v>10331</v>
      </c>
      <c r="K126" s="18">
        <v>78</v>
      </c>
    </row>
    <row r="127" spans="9:11" x14ac:dyDescent="0.25">
      <c r="I127" t="s">
        <v>454</v>
      </c>
      <c r="J127" s="5">
        <v>11912</v>
      </c>
      <c r="K127" s="18">
        <v>87</v>
      </c>
    </row>
    <row r="128" spans="9:11" x14ac:dyDescent="0.25">
      <c r="I128" t="s">
        <v>455</v>
      </c>
      <c r="J128" s="5">
        <v>16619</v>
      </c>
      <c r="K128" s="18">
        <v>135</v>
      </c>
    </row>
    <row r="129" spans="9:11" x14ac:dyDescent="0.25">
      <c r="I129" t="s">
        <v>456</v>
      </c>
      <c r="J129" s="5">
        <v>863</v>
      </c>
      <c r="K129" s="18">
        <v>8</v>
      </c>
    </row>
    <row r="130" spans="9:11" x14ac:dyDescent="0.25">
      <c r="I130" t="s">
        <v>457</v>
      </c>
      <c r="J130" s="5">
        <v>2011</v>
      </c>
      <c r="K130" s="18">
        <v>17.5</v>
      </c>
    </row>
    <row r="131" spans="9:11" x14ac:dyDescent="0.25">
      <c r="I131" t="s">
        <v>458</v>
      </c>
      <c r="J131" s="5">
        <v>3180</v>
      </c>
      <c r="K131" s="18">
        <v>23</v>
      </c>
    </row>
    <row r="132" spans="9:11" x14ac:dyDescent="0.25">
      <c r="I132" t="s">
        <v>459</v>
      </c>
      <c r="J132" s="5">
        <v>4086</v>
      </c>
      <c r="K132" s="18">
        <v>32</v>
      </c>
    </row>
    <row r="133" spans="9:11" x14ac:dyDescent="0.25">
      <c r="I133" t="s">
        <v>460</v>
      </c>
      <c r="J133" s="5">
        <v>1279</v>
      </c>
      <c r="K133" s="18">
        <v>11</v>
      </c>
    </row>
    <row r="134" spans="9:11" x14ac:dyDescent="0.25">
      <c r="I134" t="s">
        <v>461</v>
      </c>
      <c r="J134" s="5">
        <v>3282</v>
      </c>
      <c r="K134" s="18">
        <v>23</v>
      </c>
    </row>
    <row r="135" spans="9:11" x14ac:dyDescent="0.25">
      <c r="I135" t="s">
        <v>462</v>
      </c>
      <c r="J135" s="5">
        <v>5061</v>
      </c>
      <c r="K135" s="18">
        <v>38</v>
      </c>
    </row>
    <row r="136" spans="9:11" x14ac:dyDescent="0.25">
      <c r="I136" t="s">
        <v>463</v>
      </c>
      <c r="J136" s="5">
        <v>6634</v>
      </c>
      <c r="K136" s="18">
        <v>64</v>
      </c>
    </row>
    <row r="137" spans="9:11" x14ac:dyDescent="0.25">
      <c r="I137" t="s">
        <v>464</v>
      </c>
      <c r="J137" s="5">
        <v>2376</v>
      </c>
      <c r="K137" s="18">
        <v>18</v>
      </c>
    </row>
    <row r="138" spans="9:11" x14ac:dyDescent="0.25">
      <c r="I138" t="s">
        <v>465</v>
      </c>
      <c r="J138" s="5">
        <v>3950</v>
      </c>
      <c r="K138" s="18">
        <v>32</v>
      </c>
    </row>
    <row r="139" spans="9:11" x14ac:dyDescent="0.25">
      <c r="I139" t="s">
        <v>466</v>
      </c>
      <c r="J139" s="5">
        <v>4978</v>
      </c>
      <c r="K139" s="18">
        <v>36</v>
      </c>
    </row>
    <row r="140" spans="9:11" x14ac:dyDescent="0.25">
      <c r="I140" t="s">
        <v>467</v>
      </c>
      <c r="J140" s="5">
        <v>6913</v>
      </c>
      <c r="K140" s="18">
        <v>46</v>
      </c>
    </row>
    <row r="141" spans="9:11" x14ac:dyDescent="0.25">
      <c r="I141" t="s">
        <v>468</v>
      </c>
      <c r="J141" s="5">
        <v>9177</v>
      </c>
      <c r="K141" s="18">
        <v>68</v>
      </c>
    </row>
    <row r="142" spans="9:11" x14ac:dyDescent="0.25">
      <c r="I142" t="s">
        <v>469</v>
      </c>
      <c r="J142" s="5">
        <v>3216</v>
      </c>
      <c r="K142" s="18">
        <v>22</v>
      </c>
    </row>
    <row r="143" spans="9:11" x14ac:dyDescent="0.25">
      <c r="I143" t="s">
        <v>470</v>
      </c>
      <c r="J143" s="5">
        <v>6682</v>
      </c>
      <c r="K143" s="18">
        <v>54</v>
      </c>
    </row>
    <row r="144" spans="9:11" x14ac:dyDescent="0.25">
      <c r="I144" t="s">
        <v>471</v>
      </c>
      <c r="J144" s="5">
        <v>10159</v>
      </c>
      <c r="K144" s="18">
        <v>70</v>
      </c>
    </row>
    <row r="145" spans="9:11" x14ac:dyDescent="0.25">
      <c r="I145" t="s">
        <v>472</v>
      </c>
      <c r="J145" s="5">
        <v>12807</v>
      </c>
      <c r="K145" s="18">
        <v>95</v>
      </c>
    </row>
    <row r="146" spans="9:11" x14ac:dyDescent="0.25">
      <c r="I146" t="s">
        <v>473</v>
      </c>
      <c r="J146" s="5">
        <v>4371</v>
      </c>
      <c r="K146" s="18">
        <v>30</v>
      </c>
    </row>
    <row r="147" spans="9:11" x14ac:dyDescent="0.25">
      <c r="I147" t="s">
        <v>474</v>
      </c>
      <c r="J147" s="5">
        <v>6314</v>
      </c>
      <c r="K147" s="18">
        <v>44</v>
      </c>
    </row>
    <row r="148" spans="9:11" x14ac:dyDescent="0.25">
      <c r="I148" t="s">
        <v>475</v>
      </c>
      <c r="J148" s="5">
        <v>8281</v>
      </c>
      <c r="K148" s="18">
        <v>64</v>
      </c>
    </row>
    <row r="149" spans="9:11" x14ac:dyDescent="0.25">
      <c r="I149" t="s">
        <v>476</v>
      </c>
      <c r="J149" s="5">
        <v>8299</v>
      </c>
      <c r="K149" s="18">
        <v>56</v>
      </c>
    </row>
    <row r="150" spans="9:11" x14ac:dyDescent="0.25">
      <c r="I150" t="s">
        <v>477</v>
      </c>
      <c r="J150" s="5">
        <v>11098</v>
      </c>
      <c r="K150" s="18">
        <v>78</v>
      </c>
    </row>
    <row r="151" spans="9:11" x14ac:dyDescent="0.25">
      <c r="I151" t="s">
        <v>478</v>
      </c>
      <c r="J151" s="5">
        <v>12796</v>
      </c>
      <c r="K151" s="18">
        <v>87</v>
      </c>
    </row>
    <row r="152" spans="9:11" x14ac:dyDescent="0.25">
      <c r="I152" t="s">
        <v>479</v>
      </c>
      <c r="J152" s="5">
        <v>17852</v>
      </c>
      <c r="K152" s="18">
        <v>135</v>
      </c>
    </row>
    <row r="153" spans="9:11" x14ac:dyDescent="0.25">
      <c r="I153" t="s">
        <v>480</v>
      </c>
      <c r="J153" s="5">
        <v>828</v>
      </c>
      <c r="K153" s="18">
        <v>8</v>
      </c>
    </row>
    <row r="154" spans="9:11" x14ac:dyDescent="0.25">
      <c r="I154" t="s">
        <v>481</v>
      </c>
      <c r="J154" s="5">
        <v>1910</v>
      </c>
      <c r="K154" s="18">
        <v>17.5</v>
      </c>
    </row>
    <row r="155" spans="9:11" x14ac:dyDescent="0.25">
      <c r="I155" t="s">
        <v>482</v>
      </c>
      <c r="J155" s="5">
        <v>3052</v>
      </c>
      <c r="K155" s="18">
        <v>23</v>
      </c>
    </row>
    <row r="156" spans="9:11" x14ac:dyDescent="0.25">
      <c r="I156" s="16" t="s">
        <v>483</v>
      </c>
      <c r="J156" s="19">
        <v>3921</v>
      </c>
      <c r="K156" s="19">
        <v>32</v>
      </c>
    </row>
    <row r="157" spans="9:11" x14ac:dyDescent="0.25">
      <c r="I157" s="16" t="s">
        <v>484</v>
      </c>
      <c r="J157" s="19">
        <v>1228</v>
      </c>
      <c r="K157" s="19">
        <v>11</v>
      </c>
    </row>
    <row r="158" spans="9:11" x14ac:dyDescent="0.25">
      <c r="I158" s="16" t="s">
        <v>485</v>
      </c>
      <c r="J158" s="19">
        <v>3150</v>
      </c>
      <c r="K158" s="19">
        <v>23</v>
      </c>
    </row>
    <row r="159" spans="9:11" x14ac:dyDescent="0.25">
      <c r="I159" s="16" t="s">
        <v>486</v>
      </c>
      <c r="J159" s="19">
        <v>4857</v>
      </c>
      <c r="K159" s="19">
        <v>38</v>
      </c>
    </row>
    <row r="160" spans="9:11" x14ac:dyDescent="0.25">
      <c r="I160" s="16" t="s">
        <v>487</v>
      </c>
      <c r="J160" s="19">
        <v>6367</v>
      </c>
      <c r="K160" s="19">
        <v>64</v>
      </c>
    </row>
    <row r="161" spans="9:11" x14ac:dyDescent="0.25">
      <c r="I161" s="16" t="s">
        <v>488</v>
      </c>
      <c r="J161" s="19">
        <v>2280</v>
      </c>
      <c r="K161" s="19">
        <v>18</v>
      </c>
    </row>
    <row r="162" spans="9:11" x14ac:dyDescent="0.25">
      <c r="I162" s="16" t="s">
        <v>489</v>
      </c>
      <c r="J162" s="19">
        <v>3752</v>
      </c>
      <c r="K162" s="19">
        <v>32</v>
      </c>
    </row>
    <row r="163" spans="9:11" x14ac:dyDescent="0.25">
      <c r="I163" s="16" t="s">
        <v>490</v>
      </c>
      <c r="J163" s="19">
        <v>4778</v>
      </c>
      <c r="K163" s="19">
        <v>36</v>
      </c>
    </row>
    <row r="164" spans="9:11" x14ac:dyDescent="0.25">
      <c r="I164" s="16" t="s">
        <v>491</v>
      </c>
      <c r="J164" s="19">
        <v>6635</v>
      </c>
      <c r="K164" s="19">
        <v>46</v>
      </c>
    </row>
    <row r="165" spans="9:11" x14ac:dyDescent="0.25">
      <c r="I165" s="16" t="s">
        <v>492</v>
      </c>
      <c r="J165" s="19">
        <v>8807</v>
      </c>
      <c r="K165" s="19">
        <v>68</v>
      </c>
    </row>
    <row r="166" spans="9:11" x14ac:dyDescent="0.25">
      <c r="I166" s="16" t="s">
        <v>493</v>
      </c>
      <c r="J166" s="19">
        <v>3086</v>
      </c>
      <c r="K166" s="19">
        <v>22</v>
      </c>
    </row>
    <row r="167" spans="9:11" x14ac:dyDescent="0.25">
      <c r="I167" s="16" t="s">
        <v>494</v>
      </c>
      <c r="J167" s="19">
        <v>6413</v>
      </c>
      <c r="K167" s="19">
        <v>54</v>
      </c>
    </row>
    <row r="168" spans="9:11" x14ac:dyDescent="0.25">
      <c r="I168" s="16" t="s">
        <v>495</v>
      </c>
      <c r="J168" s="19">
        <v>9750</v>
      </c>
      <c r="K168" s="19">
        <v>70</v>
      </c>
    </row>
    <row r="169" spans="9:11" x14ac:dyDescent="0.25">
      <c r="I169" s="16" t="s">
        <v>496</v>
      </c>
      <c r="J169" s="19">
        <v>12292</v>
      </c>
      <c r="K169" s="19">
        <v>95</v>
      </c>
    </row>
    <row r="170" spans="9:11" x14ac:dyDescent="0.25">
      <c r="I170" s="16" t="s">
        <v>497</v>
      </c>
      <c r="J170" s="19">
        <v>4195</v>
      </c>
      <c r="K170" s="19">
        <v>30</v>
      </c>
    </row>
    <row r="171" spans="9:11" x14ac:dyDescent="0.25">
      <c r="I171" s="16" t="s">
        <v>498</v>
      </c>
      <c r="J171" s="19">
        <v>6060</v>
      </c>
      <c r="K171" s="19">
        <v>44</v>
      </c>
    </row>
    <row r="172" spans="9:11" x14ac:dyDescent="0.25">
      <c r="I172" s="16" t="s">
        <v>499</v>
      </c>
      <c r="J172" s="19">
        <v>7948</v>
      </c>
      <c r="K172" s="19">
        <v>64</v>
      </c>
    </row>
    <row r="173" spans="9:11" x14ac:dyDescent="0.25">
      <c r="I173" s="16" t="s">
        <v>500</v>
      </c>
      <c r="J173" s="19">
        <v>7965</v>
      </c>
      <c r="K173" s="19">
        <v>56</v>
      </c>
    </row>
    <row r="174" spans="9:11" x14ac:dyDescent="0.25">
      <c r="I174" s="16" t="s">
        <v>501</v>
      </c>
      <c r="J174" s="19">
        <v>10651</v>
      </c>
      <c r="K174" s="19">
        <v>78</v>
      </c>
    </row>
    <row r="175" spans="9:11" x14ac:dyDescent="0.25">
      <c r="I175" s="16" t="s">
        <v>502</v>
      </c>
      <c r="J175" s="19">
        <v>12281</v>
      </c>
      <c r="K175" s="19">
        <v>87</v>
      </c>
    </row>
    <row r="176" spans="9:11" x14ac:dyDescent="0.25">
      <c r="I176" s="16" t="s">
        <v>503</v>
      </c>
      <c r="J176" s="19">
        <v>17133</v>
      </c>
      <c r="K176" s="19">
        <v>135</v>
      </c>
    </row>
    <row r="177" spans="9:11" x14ac:dyDescent="0.25">
      <c r="I177" s="16" t="s">
        <v>504</v>
      </c>
      <c r="J177" s="19">
        <v>889</v>
      </c>
      <c r="K177" s="19">
        <v>8</v>
      </c>
    </row>
    <row r="178" spans="9:11" x14ac:dyDescent="0.25">
      <c r="I178" s="16" t="s">
        <v>505</v>
      </c>
      <c r="J178" s="19">
        <v>2071</v>
      </c>
      <c r="K178" s="19">
        <v>17.5</v>
      </c>
    </row>
    <row r="179" spans="9:11" x14ac:dyDescent="0.25">
      <c r="I179" s="16" t="s">
        <v>506</v>
      </c>
      <c r="J179" s="19">
        <v>3275</v>
      </c>
      <c r="K179" s="19">
        <v>23</v>
      </c>
    </row>
    <row r="180" spans="9:11" x14ac:dyDescent="0.25">
      <c r="I180" s="16" t="s">
        <v>507</v>
      </c>
      <c r="J180" s="19">
        <v>4208</v>
      </c>
      <c r="K180" s="19">
        <v>32</v>
      </c>
    </row>
    <row r="181" spans="9:11" x14ac:dyDescent="0.25">
      <c r="I181" s="16" t="s">
        <v>508</v>
      </c>
      <c r="J181" s="19">
        <v>1318</v>
      </c>
      <c r="K181" s="19">
        <v>11</v>
      </c>
    </row>
    <row r="182" spans="9:11" x14ac:dyDescent="0.25">
      <c r="I182" s="16" t="s">
        <v>509</v>
      </c>
      <c r="J182" s="19">
        <v>3380</v>
      </c>
      <c r="K182" s="19">
        <v>23</v>
      </c>
    </row>
    <row r="183" spans="9:11" x14ac:dyDescent="0.25">
      <c r="I183" s="16" t="s">
        <v>510</v>
      </c>
      <c r="J183" s="19">
        <v>5212</v>
      </c>
      <c r="K183" s="19">
        <v>38</v>
      </c>
    </row>
    <row r="184" spans="9:11" x14ac:dyDescent="0.25">
      <c r="I184" s="16" t="s">
        <v>511</v>
      </c>
      <c r="J184" s="19">
        <v>6833</v>
      </c>
      <c r="K184" s="19">
        <v>64</v>
      </c>
    </row>
    <row r="185" spans="9:11" x14ac:dyDescent="0.25">
      <c r="I185" s="16" t="s">
        <v>512</v>
      </c>
      <c r="J185" s="19">
        <v>2447</v>
      </c>
      <c r="K185" s="19">
        <v>18</v>
      </c>
    </row>
    <row r="186" spans="9:11" x14ac:dyDescent="0.25">
      <c r="I186" s="16" t="s">
        <v>513</v>
      </c>
      <c r="J186" s="19">
        <v>4069</v>
      </c>
      <c r="K186" s="19">
        <v>32</v>
      </c>
    </row>
    <row r="187" spans="9:11" x14ac:dyDescent="0.25">
      <c r="I187" s="16" t="s">
        <v>514</v>
      </c>
      <c r="J187" s="19">
        <v>5128</v>
      </c>
      <c r="K187" s="19">
        <v>36</v>
      </c>
    </row>
    <row r="188" spans="9:11" x14ac:dyDescent="0.25">
      <c r="I188" s="16" t="s">
        <v>515</v>
      </c>
      <c r="J188" s="19">
        <v>7120</v>
      </c>
      <c r="K188" s="19">
        <v>46</v>
      </c>
    </row>
    <row r="189" spans="9:11" x14ac:dyDescent="0.25">
      <c r="I189" s="16" t="s">
        <v>516</v>
      </c>
      <c r="J189" s="19">
        <v>9452</v>
      </c>
      <c r="K189" s="19">
        <v>68</v>
      </c>
    </row>
    <row r="190" spans="9:11" x14ac:dyDescent="0.25">
      <c r="I190" s="16" t="s">
        <v>517</v>
      </c>
      <c r="J190" s="19">
        <v>3312</v>
      </c>
      <c r="K190" s="19">
        <v>22</v>
      </c>
    </row>
    <row r="191" spans="9:11" x14ac:dyDescent="0.25">
      <c r="I191" s="16" t="s">
        <v>518</v>
      </c>
      <c r="J191" s="19">
        <v>6883</v>
      </c>
      <c r="K191" s="19">
        <v>54</v>
      </c>
    </row>
    <row r="192" spans="9:11" x14ac:dyDescent="0.25">
      <c r="I192" s="16" t="s">
        <v>519</v>
      </c>
      <c r="J192" s="19">
        <v>10463</v>
      </c>
      <c r="K192" s="19">
        <v>70</v>
      </c>
    </row>
    <row r="193" spans="9:11" x14ac:dyDescent="0.25">
      <c r="I193" s="16" t="s">
        <v>520</v>
      </c>
      <c r="J193" s="19">
        <v>13192</v>
      </c>
      <c r="K193" s="19">
        <v>95</v>
      </c>
    </row>
    <row r="194" spans="9:11" x14ac:dyDescent="0.25">
      <c r="I194" s="16" t="s">
        <v>521</v>
      </c>
      <c r="J194" s="19">
        <v>4503</v>
      </c>
      <c r="K194" s="19">
        <v>30</v>
      </c>
    </row>
    <row r="195" spans="9:11" x14ac:dyDescent="0.25">
      <c r="I195" s="16" t="s">
        <v>522</v>
      </c>
      <c r="J195" s="19">
        <v>6504</v>
      </c>
      <c r="K195" s="19">
        <v>44</v>
      </c>
    </row>
    <row r="196" spans="9:11" x14ac:dyDescent="0.25">
      <c r="I196" s="16" t="s">
        <v>523</v>
      </c>
      <c r="J196" s="19">
        <v>8530</v>
      </c>
      <c r="K196" s="19">
        <v>64</v>
      </c>
    </row>
    <row r="197" spans="9:11" x14ac:dyDescent="0.25">
      <c r="I197" s="16" t="s">
        <v>524</v>
      </c>
      <c r="J197" s="19">
        <v>8548</v>
      </c>
      <c r="K197" s="19">
        <v>56</v>
      </c>
    </row>
    <row r="198" spans="9:11" x14ac:dyDescent="0.25">
      <c r="I198" s="16" t="s">
        <v>525</v>
      </c>
      <c r="J198" s="19">
        <v>11431</v>
      </c>
      <c r="K198" s="19">
        <v>78</v>
      </c>
    </row>
    <row r="199" spans="9:11" x14ac:dyDescent="0.25">
      <c r="I199" s="16" t="s">
        <v>526</v>
      </c>
      <c r="J199" s="19">
        <v>13180</v>
      </c>
      <c r="K199" s="19">
        <v>87</v>
      </c>
    </row>
    <row r="200" spans="9:11" x14ac:dyDescent="0.25">
      <c r="I200" s="16" t="s">
        <v>527</v>
      </c>
      <c r="J200" s="19">
        <v>18388</v>
      </c>
      <c r="K200" s="19">
        <v>135</v>
      </c>
    </row>
    <row r="201" spans="9:11" x14ac:dyDescent="0.25">
      <c r="I201" s="16" t="s">
        <v>528</v>
      </c>
      <c r="J201" s="19">
        <v>853</v>
      </c>
      <c r="K201" s="19">
        <v>8</v>
      </c>
    </row>
    <row r="202" spans="9:11" x14ac:dyDescent="0.25">
      <c r="I202" s="16" t="s">
        <v>529</v>
      </c>
      <c r="J202" s="19">
        <v>1967</v>
      </c>
      <c r="K202" s="19">
        <v>17.5</v>
      </c>
    </row>
    <row r="203" spans="9:11" x14ac:dyDescent="0.25">
      <c r="I203" s="16" t="s">
        <v>530</v>
      </c>
      <c r="J203" s="19">
        <v>3143</v>
      </c>
      <c r="K203" s="19">
        <v>23</v>
      </c>
    </row>
    <row r="204" spans="9:11" x14ac:dyDescent="0.25">
      <c r="I204" s="16" t="s">
        <v>531</v>
      </c>
      <c r="J204" s="19">
        <v>4039</v>
      </c>
      <c r="K204" s="19">
        <v>32</v>
      </c>
    </row>
    <row r="205" spans="9:11" x14ac:dyDescent="0.25">
      <c r="I205" s="16" t="s">
        <v>532</v>
      </c>
      <c r="J205" s="19">
        <v>1265</v>
      </c>
      <c r="K205" s="19">
        <v>11</v>
      </c>
    </row>
    <row r="206" spans="9:11" x14ac:dyDescent="0.25">
      <c r="I206" s="16" t="s">
        <v>533</v>
      </c>
      <c r="J206" s="19">
        <v>3244</v>
      </c>
      <c r="K206" s="19">
        <v>23</v>
      </c>
    </row>
    <row r="207" spans="9:11" x14ac:dyDescent="0.25">
      <c r="I207" s="16" t="s">
        <v>534</v>
      </c>
      <c r="J207" s="19">
        <v>5003</v>
      </c>
      <c r="K207" s="19">
        <v>38</v>
      </c>
    </row>
    <row r="208" spans="9:11" x14ac:dyDescent="0.25">
      <c r="I208" s="16" t="s">
        <v>535</v>
      </c>
      <c r="J208" s="19">
        <v>6558</v>
      </c>
      <c r="K208" s="19">
        <v>64</v>
      </c>
    </row>
    <row r="209" spans="9:11" x14ac:dyDescent="0.25">
      <c r="I209" s="16" t="s">
        <v>536</v>
      </c>
      <c r="J209" s="19">
        <v>2349</v>
      </c>
      <c r="K209" s="19">
        <v>18</v>
      </c>
    </row>
    <row r="210" spans="9:11" x14ac:dyDescent="0.25">
      <c r="I210" s="16" t="s">
        <v>537</v>
      </c>
      <c r="J210" s="19">
        <v>3865</v>
      </c>
      <c r="K210" s="19">
        <v>32</v>
      </c>
    </row>
    <row r="211" spans="9:11" x14ac:dyDescent="0.25">
      <c r="I211" s="16" t="s">
        <v>538</v>
      </c>
      <c r="J211" s="19">
        <v>4921</v>
      </c>
      <c r="K211" s="19">
        <v>36</v>
      </c>
    </row>
    <row r="212" spans="9:11" x14ac:dyDescent="0.25">
      <c r="I212" s="16" t="s">
        <v>539</v>
      </c>
      <c r="J212" s="19">
        <v>6834</v>
      </c>
      <c r="K212" s="19">
        <v>46</v>
      </c>
    </row>
    <row r="213" spans="9:11" x14ac:dyDescent="0.25">
      <c r="I213" s="16" t="s">
        <v>540</v>
      </c>
      <c r="J213" s="19">
        <v>9071</v>
      </c>
      <c r="K213" s="19">
        <v>68</v>
      </c>
    </row>
    <row r="214" spans="9:11" x14ac:dyDescent="0.25">
      <c r="I214" s="16" t="s">
        <v>541</v>
      </c>
      <c r="J214" s="19">
        <v>3179</v>
      </c>
      <c r="K214" s="19">
        <v>22</v>
      </c>
    </row>
    <row r="215" spans="9:11" x14ac:dyDescent="0.25">
      <c r="I215" s="16" t="s">
        <v>542</v>
      </c>
      <c r="J215" s="19">
        <v>6606</v>
      </c>
      <c r="K215" s="19">
        <v>54</v>
      </c>
    </row>
    <row r="216" spans="9:11" x14ac:dyDescent="0.25">
      <c r="I216" s="16" t="s">
        <v>543</v>
      </c>
      <c r="J216" s="19">
        <v>10042</v>
      </c>
      <c r="K216" s="19">
        <v>70</v>
      </c>
    </row>
    <row r="217" spans="9:11" x14ac:dyDescent="0.25">
      <c r="I217" s="16" t="s">
        <v>544</v>
      </c>
      <c r="J217" s="19">
        <v>12660</v>
      </c>
      <c r="K217" s="19">
        <v>95</v>
      </c>
    </row>
    <row r="218" spans="9:11" x14ac:dyDescent="0.25">
      <c r="I218" s="16" t="s">
        <v>545</v>
      </c>
      <c r="J218" s="19">
        <v>4321</v>
      </c>
      <c r="K218" s="19">
        <v>30</v>
      </c>
    </row>
    <row r="219" spans="9:11" x14ac:dyDescent="0.25">
      <c r="I219" s="16" t="s">
        <v>546</v>
      </c>
      <c r="J219" s="19">
        <v>6242</v>
      </c>
      <c r="K219" s="19">
        <v>44</v>
      </c>
    </row>
    <row r="220" spans="9:11" x14ac:dyDescent="0.25">
      <c r="I220" s="16" t="s">
        <v>547</v>
      </c>
      <c r="J220" s="19">
        <v>8186</v>
      </c>
      <c r="K220" s="19">
        <v>64</v>
      </c>
    </row>
    <row r="221" spans="9:11" x14ac:dyDescent="0.25">
      <c r="I221" s="16" t="s">
        <v>548</v>
      </c>
      <c r="J221" s="19">
        <v>8204</v>
      </c>
      <c r="K221" s="19">
        <v>56</v>
      </c>
    </row>
    <row r="222" spans="9:11" x14ac:dyDescent="0.25">
      <c r="I222" s="16" t="s">
        <v>549</v>
      </c>
      <c r="J222" s="19">
        <v>10971</v>
      </c>
      <c r="K222" s="19">
        <v>78</v>
      </c>
    </row>
    <row r="223" spans="9:11" x14ac:dyDescent="0.25">
      <c r="I223" s="16" t="s">
        <v>550</v>
      </c>
      <c r="J223" s="19">
        <v>12649</v>
      </c>
      <c r="K223" s="19">
        <v>87</v>
      </c>
    </row>
    <row r="224" spans="9:11" x14ac:dyDescent="0.25">
      <c r="I224" s="16" t="s">
        <v>551</v>
      </c>
      <c r="J224" s="19">
        <v>17647</v>
      </c>
      <c r="K224" s="19">
        <v>135</v>
      </c>
    </row>
  </sheetData>
  <sheetProtection algorithmName="SHA-512" hashValue="nxWSe2Ri61gaSXzWpgIouxiJl55EUwTEraVJqlH5sI75BbQUZanjU6ZCxpw/5Rb51X1ij0ndoWO8A8RpQ8zyRA==" saltValue="yusymOvkvesRUEa2VUZhUw==" spinCount="100000" sheet="1" objects="1" scenarios="1" selectLockedCells="1"/>
  <mergeCells count="4">
    <mergeCell ref="A52:D55"/>
    <mergeCell ref="BI5:BK5"/>
    <mergeCell ref="BI6:BK6"/>
    <mergeCell ref="BI7:BK7"/>
  </mergeCells>
  <conditionalFormatting sqref="C44">
    <cfRule type="cellIs" dxfId="103" priority="2" operator="greaterThan">
      <formula>$F$44</formula>
    </cfRule>
  </conditionalFormatting>
  <conditionalFormatting sqref="C45">
    <cfRule type="cellIs" dxfId="102" priority="1" operator="greaterThan">
      <formula>$F$45</formula>
    </cfRule>
  </conditionalFormatting>
  <dataValidations count="4">
    <dataValidation type="list" allowBlank="1" showInputMessage="1" showErrorMessage="1" sqref="C43" xr:uid="{373BD58B-A6A5-4DC2-97B6-3EC308DECD1F}">
      <formula1>$V$88:$V$89</formula1>
    </dataValidation>
    <dataValidation type="list" allowBlank="1" showInputMessage="1" showErrorMessage="1" sqref="C18" xr:uid="{6F6AF467-A08F-486A-85DA-B82C6C2B79F1}">
      <formula1>$O$88:$O$90</formula1>
    </dataValidation>
    <dataValidation type="list" allowBlank="1" showInputMessage="1" showErrorMessage="1" sqref="C17" xr:uid="{638A3013-CE7E-43C2-ACB6-4853FB82625E}">
      <formula1>$N$88:$N$92</formula1>
    </dataValidation>
    <dataValidation type="list" allowBlank="1" showInputMessage="1" showErrorMessage="1" sqref="C21" xr:uid="{3444A781-8B5A-49C5-A56D-0878260F2B8B}">
      <formula1>$I$81:$I$224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FF47B-16D0-4E44-869B-4CA7C96B82C9}">
  <sheetPr>
    <pageSetUpPr fitToPage="1"/>
  </sheetPr>
  <dimension ref="A5:BK224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5.85546875" customWidth="1"/>
    <col min="3" max="3" width="23.28515625" customWidth="1"/>
    <col min="4" max="4" width="5.85546875" bestFit="1" customWidth="1"/>
    <col min="5" max="8" width="9.140625" hidden="1" customWidth="1"/>
    <col min="9" max="9" width="20.425781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552</v>
      </c>
      <c r="BH7" s="5" t="s">
        <v>1345</v>
      </c>
      <c r="BI7" s="37"/>
      <c r="BJ7" s="37"/>
      <c r="BK7" s="37"/>
    </row>
    <row r="9" spans="1:63" x14ac:dyDescent="0.25">
      <c r="I9" s="6" t="s">
        <v>117</v>
      </c>
      <c r="Z9" s="2" t="s">
        <v>114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110</v>
      </c>
      <c r="AH13">
        <v>110</v>
      </c>
      <c r="AI13">
        <v>110</v>
      </c>
      <c r="AJ13">
        <v>105</v>
      </c>
      <c r="AK13">
        <v>105</v>
      </c>
      <c r="AL13">
        <v>105</v>
      </c>
      <c r="AM13">
        <v>100</v>
      </c>
      <c r="AN13">
        <v>100</v>
      </c>
      <c r="AO13">
        <v>100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96</v>
      </c>
      <c r="M14">
        <v>102</v>
      </c>
      <c r="N14">
        <v>98</v>
      </c>
      <c r="O14">
        <v>94</v>
      </c>
      <c r="P14">
        <v>97</v>
      </c>
      <c r="Q14">
        <v>94</v>
      </c>
      <c r="R14">
        <v>91</v>
      </c>
      <c r="S14">
        <v>93</v>
      </c>
      <c r="T14">
        <v>91</v>
      </c>
      <c r="U14">
        <v>88</v>
      </c>
      <c r="V14">
        <v>90</v>
      </c>
      <c r="W14">
        <v>88</v>
      </c>
      <c r="X14">
        <v>86</v>
      </c>
      <c r="Z14">
        <v>1</v>
      </c>
      <c r="AA14">
        <v>103</v>
      </c>
      <c r="AB14">
        <v>98</v>
      </c>
      <c r="AC14">
        <v>94</v>
      </c>
      <c r="AD14">
        <v>100</v>
      </c>
      <c r="AE14">
        <v>96</v>
      </c>
      <c r="AF14">
        <v>92</v>
      </c>
      <c r="AG14">
        <v>95</v>
      </c>
      <c r="AH14">
        <v>92</v>
      </c>
      <c r="AI14">
        <v>89</v>
      </c>
      <c r="AJ14">
        <v>91</v>
      </c>
      <c r="AK14">
        <v>88</v>
      </c>
      <c r="AL14">
        <v>86</v>
      </c>
      <c r="AM14">
        <v>87</v>
      </c>
      <c r="AN14">
        <v>85</v>
      </c>
      <c r="AO14">
        <v>83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83</v>
      </c>
      <c r="L15">
        <v>78</v>
      </c>
      <c r="M15">
        <v>88</v>
      </c>
      <c r="N15">
        <v>82</v>
      </c>
      <c r="O15">
        <v>77</v>
      </c>
      <c r="P15">
        <v>85</v>
      </c>
      <c r="Q15">
        <v>80</v>
      </c>
      <c r="R15">
        <v>75</v>
      </c>
      <c r="S15">
        <v>82</v>
      </c>
      <c r="T15">
        <v>77</v>
      </c>
      <c r="U15">
        <v>73</v>
      </c>
      <c r="V15">
        <v>79</v>
      </c>
      <c r="W15">
        <v>75</v>
      </c>
      <c r="X15">
        <v>72</v>
      </c>
      <c r="Z15">
        <v>2</v>
      </c>
      <c r="AA15">
        <v>89</v>
      </c>
      <c r="AB15">
        <v>82</v>
      </c>
      <c r="AC15">
        <v>76</v>
      </c>
      <c r="AD15">
        <v>87</v>
      </c>
      <c r="AE15">
        <v>81</v>
      </c>
      <c r="AF15">
        <v>75</v>
      </c>
      <c r="AG15">
        <v>83</v>
      </c>
      <c r="AH15">
        <v>78</v>
      </c>
      <c r="AI15">
        <v>73</v>
      </c>
      <c r="AJ15">
        <v>80</v>
      </c>
      <c r="AK15">
        <v>75</v>
      </c>
      <c r="AL15">
        <v>71</v>
      </c>
      <c r="AM15">
        <v>76</v>
      </c>
      <c r="AN15">
        <v>73</v>
      </c>
      <c r="AO15">
        <v>69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79</v>
      </c>
      <c r="K16">
        <v>71</v>
      </c>
      <c r="L16">
        <v>64</v>
      </c>
      <c r="M16">
        <v>78</v>
      </c>
      <c r="N16">
        <v>70</v>
      </c>
      <c r="O16">
        <v>64</v>
      </c>
      <c r="P16">
        <v>75</v>
      </c>
      <c r="Q16">
        <v>68</v>
      </c>
      <c r="R16">
        <v>63</v>
      </c>
      <c r="S16">
        <v>72</v>
      </c>
      <c r="T16">
        <v>66</v>
      </c>
      <c r="U16">
        <v>62</v>
      </c>
      <c r="V16">
        <v>69</v>
      </c>
      <c r="W16">
        <v>65</v>
      </c>
      <c r="X16">
        <v>60</v>
      </c>
      <c r="Z16">
        <v>3</v>
      </c>
      <c r="AA16">
        <v>78</v>
      </c>
      <c r="AB16">
        <v>70</v>
      </c>
      <c r="AC16">
        <v>63</v>
      </c>
      <c r="AD16">
        <v>77</v>
      </c>
      <c r="AE16">
        <v>69</v>
      </c>
      <c r="AF16">
        <v>63</v>
      </c>
      <c r="AG16">
        <v>73</v>
      </c>
      <c r="AH16">
        <v>67</v>
      </c>
      <c r="AI16">
        <v>61</v>
      </c>
      <c r="AJ16">
        <v>70</v>
      </c>
      <c r="AK16">
        <v>65</v>
      </c>
      <c r="AL16">
        <v>60</v>
      </c>
      <c r="AM16">
        <v>67</v>
      </c>
      <c r="AN16">
        <v>63</v>
      </c>
      <c r="AO16">
        <v>59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70</v>
      </c>
      <c r="K17">
        <v>61</v>
      </c>
      <c r="L17">
        <v>54</v>
      </c>
      <c r="M17">
        <v>69</v>
      </c>
      <c r="N17">
        <v>60</v>
      </c>
      <c r="O17">
        <v>54</v>
      </c>
      <c r="P17">
        <v>66</v>
      </c>
      <c r="Q17">
        <v>59</v>
      </c>
      <c r="R17">
        <v>53</v>
      </c>
      <c r="S17">
        <v>64</v>
      </c>
      <c r="T17">
        <v>58</v>
      </c>
      <c r="U17">
        <v>52</v>
      </c>
      <c r="V17">
        <v>62</v>
      </c>
      <c r="W17">
        <v>56</v>
      </c>
      <c r="X17">
        <v>52</v>
      </c>
      <c r="Z17">
        <v>4</v>
      </c>
      <c r="AA17">
        <v>69</v>
      </c>
      <c r="AB17">
        <v>60</v>
      </c>
      <c r="AC17">
        <v>54</v>
      </c>
      <c r="AD17">
        <v>68</v>
      </c>
      <c r="AE17">
        <v>60</v>
      </c>
      <c r="AF17">
        <v>53</v>
      </c>
      <c r="AG17">
        <v>65</v>
      </c>
      <c r="AH17">
        <v>58</v>
      </c>
      <c r="AI17">
        <v>52</v>
      </c>
      <c r="AJ17">
        <v>62</v>
      </c>
      <c r="AK17">
        <v>56</v>
      </c>
      <c r="AL17">
        <v>51</v>
      </c>
      <c r="AM17">
        <v>60</v>
      </c>
      <c r="AN17">
        <v>55</v>
      </c>
      <c r="AO17">
        <v>50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62</v>
      </c>
      <c r="K18">
        <v>53</v>
      </c>
      <c r="L18">
        <v>47</v>
      </c>
      <c r="M18">
        <v>61</v>
      </c>
      <c r="N18">
        <v>53</v>
      </c>
      <c r="O18">
        <v>46</v>
      </c>
      <c r="P18">
        <v>59</v>
      </c>
      <c r="Q18">
        <v>52</v>
      </c>
      <c r="R18">
        <v>46</v>
      </c>
      <c r="S18">
        <v>57</v>
      </c>
      <c r="T18">
        <v>51</v>
      </c>
      <c r="U18">
        <v>45</v>
      </c>
      <c r="V18">
        <v>55</v>
      </c>
      <c r="W18">
        <v>50</v>
      </c>
      <c r="X18">
        <v>45</v>
      </c>
      <c r="Z18">
        <v>5</v>
      </c>
      <c r="AA18">
        <v>62</v>
      </c>
      <c r="AB18">
        <v>53</v>
      </c>
      <c r="AC18">
        <v>46</v>
      </c>
      <c r="AD18">
        <v>61</v>
      </c>
      <c r="AE18">
        <v>52</v>
      </c>
      <c r="AF18">
        <v>46</v>
      </c>
      <c r="AG18">
        <v>58</v>
      </c>
      <c r="AH18">
        <v>51</v>
      </c>
      <c r="AI18">
        <v>45</v>
      </c>
      <c r="AJ18">
        <v>56</v>
      </c>
      <c r="AK18">
        <v>50</v>
      </c>
      <c r="AL18">
        <v>44</v>
      </c>
      <c r="AM18">
        <v>54</v>
      </c>
      <c r="AN18">
        <v>48</v>
      </c>
      <c r="AO18">
        <v>44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56</v>
      </c>
      <c r="K19">
        <v>47</v>
      </c>
      <c r="L19">
        <v>41</v>
      </c>
      <c r="M19">
        <v>55</v>
      </c>
      <c r="N19">
        <v>47</v>
      </c>
      <c r="O19">
        <v>40</v>
      </c>
      <c r="P19">
        <v>53</v>
      </c>
      <c r="Q19">
        <v>46</v>
      </c>
      <c r="R19">
        <v>40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39</v>
      </c>
      <c r="Z19">
        <v>6</v>
      </c>
      <c r="AA19">
        <v>56</v>
      </c>
      <c r="AB19">
        <v>47</v>
      </c>
      <c r="AC19">
        <v>40</v>
      </c>
      <c r="AD19">
        <v>55</v>
      </c>
      <c r="AE19">
        <v>46</v>
      </c>
      <c r="AF19">
        <v>40</v>
      </c>
      <c r="AG19">
        <v>53</v>
      </c>
      <c r="AH19">
        <v>45</v>
      </c>
      <c r="AI19">
        <v>39</v>
      </c>
      <c r="AJ19">
        <v>51</v>
      </c>
      <c r="AK19">
        <v>44</v>
      </c>
      <c r="AL19">
        <v>39</v>
      </c>
      <c r="AM19">
        <v>49</v>
      </c>
      <c r="AN19">
        <v>43</v>
      </c>
      <c r="AO19">
        <v>38</v>
      </c>
      <c r="AQ19">
        <v>6</v>
      </c>
    </row>
    <row r="20" spans="1:63" x14ac:dyDescent="0.25">
      <c r="I20">
        <v>7</v>
      </c>
      <c r="J20">
        <v>51</v>
      </c>
      <c r="K20">
        <v>42</v>
      </c>
      <c r="L20">
        <v>36</v>
      </c>
      <c r="M20">
        <v>50</v>
      </c>
      <c r="N20">
        <v>42</v>
      </c>
      <c r="O20">
        <v>36</v>
      </c>
      <c r="P20">
        <v>48</v>
      </c>
      <c r="Q20">
        <v>41</v>
      </c>
      <c r="R20">
        <v>35</v>
      </c>
      <c r="S20">
        <v>47</v>
      </c>
      <c r="T20">
        <v>40</v>
      </c>
      <c r="U20">
        <v>35</v>
      </c>
      <c r="V20">
        <v>46</v>
      </c>
      <c r="W20">
        <v>40</v>
      </c>
      <c r="X20">
        <v>35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41</v>
      </c>
      <c r="AF20">
        <v>35</v>
      </c>
      <c r="AG20">
        <v>48</v>
      </c>
      <c r="AH20">
        <v>40</v>
      </c>
      <c r="AI20">
        <v>35</v>
      </c>
      <c r="AJ20">
        <v>46</v>
      </c>
      <c r="AK20">
        <v>40</v>
      </c>
      <c r="AL20">
        <v>35</v>
      </c>
      <c r="AM20">
        <v>45</v>
      </c>
      <c r="AN20">
        <v>39</v>
      </c>
      <c r="AO20">
        <v>34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IF(ISNUMBER(SEARCH("FR",C21)),"Yes","No")</f>
        <v>No</v>
      </c>
      <c r="I21">
        <v>8</v>
      </c>
      <c r="J21">
        <v>46</v>
      </c>
      <c r="K21">
        <v>38</v>
      </c>
      <c r="L21">
        <v>32</v>
      </c>
      <c r="M21">
        <v>46</v>
      </c>
      <c r="N21">
        <v>37</v>
      </c>
      <c r="O21">
        <v>32</v>
      </c>
      <c r="P21">
        <v>44</v>
      </c>
      <c r="Q21">
        <v>37</v>
      </c>
      <c r="R21">
        <v>32</v>
      </c>
      <c r="S21">
        <v>43</v>
      </c>
      <c r="T21">
        <v>36</v>
      </c>
      <c r="U21">
        <v>31</v>
      </c>
      <c r="V21">
        <v>42</v>
      </c>
      <c r="W21">
        <v>36</v>
      </c>
      <c r="X21">
        <v>31</v>
      </c>
      <c r="Z21">
        <v>8</v>
      </c>
      <c r="AA21">
        <v>46</v>
      </c>
      <c r="AB21">
        <v>38</v>
      </c>
      <c r="AC21">
        <v>32</v>
      </c>
      <c r="AD21">
        <v>45</v>
      </c>
      <c r="AE21">
        <v>37</v>
      </c>
      <c r="AF21">
        <v>31</v>
      </c>
      <c r="AG21">
        <v>44</v>
      </c>
      <c r="AH21">
        <v>36</v>
      </c>
      <c r="AI21">
        <v>31</v>
      </c>
      <c r="AJ21">
        <v>42</v>
      </c>
      <c r="AK21">
        <v>36</v>
      </c>
      <c r="AL21">
        <v>31</v>
      </c>
      <c r="AM21">
        <v>41</v>
      </c>
      <c r="AN21">
        <v>35</v>
      </c>
      <c r="AO21">
        <v>31</v>
      </c>
      <c r="AQ21">
        <v>8</v>
      </c>
    </row>
    <row r="22" spans="1:63" x14ac:dyDescent="0.25">
      <c r="B22" t="s">
        <v>30</v>
      </c>
      <c r="C22" s="4" t="e">
        <f>VLOOKUP(C21,Model5235363[],2,0)</f>
        <v>#N/A</v>
      </c>
      <c r="D22" t="s">
        <v>131</v>
      </c>
      <c r="I22">
        <v>9</v>
      </c>
      <c r="J22">
        <v>42</v>
      </c>
      <c r="K22">
        <v>34</v>
      </c>
      <c r="L22">
        <v>29</v>
      </c>
      <c r="M22">
        <v>42</v>
      </c>
      <c r="N22">
        <v>34</v>
      </c>
      <c r="O22">
        <v>29</v>
      </c>
      <c r="P22">
        <v>41</v>
      </c>
      <c r="Q22">
        <v>33</v>
      </c>
      <c r="R22">
        <v>28</v>
      </c>
      <c r="S22">
        <v>40</v>
      </c>
      <c r="T22">
        <v>33</v>
      </c>
      <c r="U22">
        <v>28</v>
      </c>
      <c r="V22">
        <v>39</v>
      </c>
      <c r="W22">
        <v>33</v>
      </c>
      <c r="X22">
        <v>28</v>
      </c>
      <c r="Z22">
        <v>9</v>
      </c>
      <c r="AA22">
        <v>42</v>
      </c>
      <c r="AB22">
        <v>34</v>
      </c>
      <c r="AC22">
        <v>28</v>
      </c>
      <c r="AD22">
        <v>42</v>
      </c>
      <c r="AE22">
        <v>34</v>
      </c>
      <c r="AF22">
        <v>28</v>
      </c>
      <c r="AG22">
        <v>40</v>
      </c>
      <c r="AH22">
        <v>33</v>
      </c>
      <c r="AI22">
        <v>28</v>
      </c>
      <c r="AJ22">
        <v>39</v>
      </c>
      <c r="AK22">
        <v>33</v>
      </c>
      <c r="AL22">
        <v>28</v>
      </c>
      <c r="AM22">
        <v>38</v>
      </c>
      <c r="AN22">
        <v>32</v>
      </c>
      <c r="AO22">
        <v>28</v>
      </c>
      <c r="AQ22">
        <v>9</v>
      </c>
    </row>
    <row r="23" spans="1:63" x14ac:dyDescent="0.25">
      <c r="B23" t="s">
        <v>31</v>
      </c>
      <c r="C23" t="e">
        <f>VLOOKUP(C21,Model5235363[],3,FALSE)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39</v>
      </c>
      <c r="N23">
        <v>31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30</v>
      </c>
      <c r="U23">
        <v>26</v>
      </c>
      <c r="V23">
        <v>36</v>
      </c>
      <c r="W23">
        <v>30</v>
      </c>
      <c r="X23">
        <v>25</v>
      </c>
      <c r="Z23">
        <v>10</v>
      </c>
      <c r="AA23">
        <v>39</v>
      </c>
      <c r="AB23">
        <v>31</v>
      </c>
      <c r="AC23">
        <v>26</v>
      </c>
      <c r="AD23">
        <v>38</v>
      </c>
      <c r="AE23">
        <v>31</v>
      </c>
      <c r="AF23">
        <v>26</v>
      </c>
      <c r="AG23">
        <v>37</v>
      </c>
      <c r="AH23">
        <v>30</v>
      </c>
      <c r="AI23">
        <v>25</v>
      </c>
      <c r="AJ23">
        <v>36</v>
      </c>
      <c r="AK23">
        <v>30</v>
      </c>
      <c r="AL23">
        <v>25</v>
      </c>
      <c r="AM23">
        <v>35</v>
      </c>
      <c r="AN23">
        <v>29</v>
      </c>
      <c r="AO23">
        <v>25</v>
      </c>
      <c r="AQ23">
        <v>10</v>
      </c>
    </row>
    <row r="24" spans="1:63" x14ac:dyDescent="0.25">
      <c r="B24" t="s">
        <v>3</v>
      </c>
      <c r="C24" s="11" t="e">
        <f t="array" ref="C24">INDEX(CUtable4225262[],MATCH(1,(CUtable4225262[RC]=C17)*(CUtable4225262[RW]=C18)*(CUtable4225262[FR]=E21),0),4)</f>
        <v>#DIV/0!</v>
      </c>
      <c r="H24" s="5"/>
    </row>
    <row r="25" spans="1:63" x14ac:dyDescent="0.25">
      <c r="B25" t="s">
        <v>133</v>
      </c>
      <c r="C25" s="11">
        <f>VLOOKUP(E21,Table81217275767[],2,FALSE)</f>
        <v>1.3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VLOOKUP(E21,Table81217275767[],3,FALSE)</f>
        <v>1.28</v>
      </c>
      <c r="H26" s="5"/>
      <c r="I26" t="s">
        <v>218</v>
      </c>
      <c r="J26">
        <f>INDEX(LINEST(TablePBL5161[CU],TablePBL5161[RCR]^{1,2,3}),1)</f>
        <v>-4.2735042735043062E-2</v>
      </c>
      <c r="K26">
        <f>INDEX(LINEST(TablePBL5161[CU1],TablePBL5161[RCR]^{1,2,3}),1)</f>
        <v>-7.5951825951826146E-2</v>
      </c>
      <c r="L26">
        <f>INDEX(LINEST(TablePBL5161[CU2],TablePBL5161[RCR]^{1,2,3}),1)</f>
        <v>-0.10683760683760703</v>
      </c>
      <c r="M26">
        <f>INDEX(LINEST(TablePBL5161[CU3],TablePBL5161[RCR]^{1,2,3}),1)</f>
        <v>-3.6130536130536538E-2</v>
      </c>
      <c r="N26">
        <f>INDEX(LINEST(TablePBL5161[CU4],TablePBL5161[RCR]^{1,2,3}),1)</f>
        <v>-6.7987567987568651E-2</v>
      </c>
      <c r="O26">
        <f>INDEX(LINEST(TablePBL5161[CU5],TablePBL5161[RCR]^{1,2,3}),1)</f>
        <v>-9.3240093240093982E-2</v>
      </c>
      <c r="P26">
        <f>INDEX(LINEST(TablePBL5161[CU6],TablePBL5161[RCR]^{1,2,3}),1)</f>
        <v>-2.894327894327909E-2</v>
      </c>
      <c r="Q26">
        <f>INDEX(LINEST(TablePBL5161[CU7],TablePBL5161[RCR]^{1,2,3}),1)</f>
        <v>-5.5361305361305652E-2</v>
      </c>
      <c r="R26">
        <f>INDEX(LINEST(TablePBL5161[CU8],TablePBL5161[RCR]^{1,2,3}),1)</f>
        <v>-7.7700077700077919E-2</v>
      </c>
      <c r="S26">
        <f>INDEX(LINEST(TablePBL5161[CU9],TablePBL5161[RCR]^{1,2,3}),1)</f>
        <v>-2.9331779331779547E-2</v>
      </c>
      <c r="T26">
        <f>INDEX(LINEST(TablePBL5161[CU10],TablePBL5161[RCR]^{1,2,3}),1)</f>
        <v>-4.8562548562548637E-2</v>
      </c>
      <c r="U26">
        <f>INDEX(LINEST(TablePBL5161[CU11],TablePBL5161[RCR]^{1,2,3}),1)</f>
        <v>-6.3519813519813909E-2</v>
      </c>
      <c r="V26">
        <f>INDEX(LINEST(TablePBL5161[CU12],TablePBL5161[RCR]^{1,2,3}),1)</f>
        <v>-3.16627816627819E-2</v>
      </c>
      <c r="W26">
        <f>INDEX(LINEST(TablePBL5161[CU13],TablePBL5161[RCR]^{1,2,3}),1)</f>
        <v>-4.4483294483294744E-2</v>
      </c>
      <c r="X26">
        <f>INDEX(LINEST(TablePBL5161[CU14],TablePBL5161[RCR]^{1,2,3}),1)</f>
        <v>-5.8857808857809009E-2</v>
      </c>
      <c r="Z26" t="s">
        <v>218</v>
      </c>
      <c r="AA26">
        <f>INDEX(LINEST(TablePBLFR5868[CU],TablePBLFR5868[RCR]^{1,2,3}),1)</f>
        <v>-5.5361305361305471E-2</v>
      </c>
      <c r="AB26">
        <f>INDEX(LINEST(TablePBLFR5868[CU1],TablePBLFR5868[RCR]^{1,2,3}),1)</f>
        <v>-8.9743589743590341E-2</v>
      </c>
      <c r="AC26">
        <f>INDEX(LINEST(TablePBLFR5868[CU2],TablePBLFR5868[RCR]^{1,2,3}),1)</f>
        <v>-0.11829836829836886</v>
      </c>
      <c r="AD26">
        <f>INDEX(LINEST(TablePBLFR5868[CU3],TablePBLFR5868[RCR]^{1,2,3}),1)</f>
        <v>-5.1476301476301674E-2</v>
      </c>
      <c r="AE26">
        <f>INDEX(LINEST(TablePBLFR5868[CU4],TablePBLFR5868[RCR]^{1,2,3}),1)</f>
        <v>-7.1872571872572497E-2</v>
      </c>
      <c r="AF26">
        <f>INDEX(LINEST(TablePBLFR5868[CU5],TablePBLFR5868[RCR]^{1,2,3}),1)</f>
        <v>-0.10139860139860174</v>
      </c>
      <c r="AG26">
        <f>INDEX(LINEST(TablePBLFR5868[CU6],TablePBLFR5868[RCR]^{1,2,3}),1)</f>
        <v>-5.0310800310800451E-2</v>
      </c>
      <c r="AH26">
        <f>INDEX(LINEST(TablePBLFR5868[CU7],TablePBLFR5868[RCR]^{1,2,3}),1)</f>
        <v>-6.196581196581212E-2</v>
      </c>
      <c r="AI26">
        <f>INDEX(LINEST(TablePBLFR5868[CU8],TablePBLFR5868[RCR]^{1,2,3}),1)</f>
        <v>-9.3240093240093844E-2</v>
      </c>
      <c r="AJ26">
        <f>INDEX(LINEST(TablePBLFR5868[CU9],TablePBLFR5868[RCR]^{1,2,3}),1)</f>
        <v>-4.1958041958042258E-2</v>
      </c>
      <c r="AK26">
        <f>INDEX(LINEST(TablePBLFR5868[CU10],TablePBLFR5868[RCR]^{1,2,3}),1)</f>
        <v>-6.1965811965812065E-2</v>
      </c>
      <c r="AL26">
        <f>INDEX(LINEST(TablePBLFR5868[CU11],TablePBLFR5868[RCR]^{1,2,3}),1)</f>
        <v>-8.3333333333333842E-2</v>
      </c>
      <c r="AM26">
        <f>INDEX(LINEST(TablePBLFR5868[CU12],TablePBLFR5868[RCR]^{1,2,3}),1)</f>
        <v>-4.3900543900544035E-2</v>
      </c>
      <c r="AN26">
        <f>INDEX(LINEST(TablePBLFR5868[CU13],TablePBLFR5868[RCR]^{1,2,3}),1)</f>
        <v>-4.9728049728050124E-2</v>
      </c>
      <c r="AO26">
        <f>INDEX(LINEST(TablePBLFR5868[CU14],TablePBLFR5868[RCR]^{1,2,3}),1)</f>
        <v>-6.6239316239316628E-2</v>
      </c>
      <c r="AQ26" t="s">
        <v>218</v>
      </c>
      <c r="AR26" t="e">
        <f>INDEX(LINEST(Table1x4306070[CU],Table1x4306070[RCR]^{1,2,3}),1)</f>
        <v>#VALUE!</v>
      </c>
      <c r="AS26" t="e">
        <f>INDEX(LINEST(Table1x4306070[CU1],Table1x4306070[RCR]^{1,2,3}),1)</f>
        <v>#VALUE!</v>
      </c>
      <c r="AT26" t="e">
        <f>INDEX(LINEST(Table1x4306070[CU2],Table1x4306070[RCR]^{1,2,3}),1)</f>
        <v>#VALUE!</v>
      </c>
      <c r="AU26" t="e">
        <f>INDEX(LINEST(Table1x4306070[CU3],Table1x4306070[RCR]^{1,2,3}),1)</f>
        <v>#VALUE!</v>
      </c>
      <c r="AV26" t="e">
        <f>INDEX(LINEST(Table1x4306070[CU4],Table1x4306070[RCR]^{1,2,3}),1)</f>
        <v>#VALUE!</v>
      </c>
      <c r="AW26" t="e">
        <f>INDEX(LINEST(Table1x4306070[CU5],Table1x4306070[RCR]^{1,2,3}),1)</f>
        <v>#VALUE!</v>
      </c>
      <c r="AX26" t="e">
        <f>INDEX(LINEST(Table1x4306070[CU6],Table1x4306070[RCR]^{1,2,3}),1)</f>
        <v>#VALUE!</v>
      </c>
      <c r="AY26" t="e">
        <f>INDEX(LINEST(Table1x4306070[CU7],Table1x4306070[RCR]^{1,2,3}),1)</f>
        <v>#VALUE!</v>
      </c>
      <c r="AZ26" t="e">
        <f>INDEX(LINEST(Table1x4306070[CU8],Table1x4306070[RCR]^{1,2,3}),1)</f>
        <v>#VALUE!</v>
      </c>
      <c r="BA26" t="e">
        <f>INDEX(LINEST(Table1x4306070[CU9],Table1x4306070[RCR]^{1,2,3}),1)</f>
        <v>#VALUE!</v>
      </c>
      <c r="BB26" t="e">
        <f>INDEX(LINEST(Table1x4306070[CU10],Table1x4306070[RCR]^{1,2,3}),1)</f>
        <v>#VALUE!</v>
      </c>
      <c r="BC26" t="e">
        <f>INDEX(LINEST(Table1x4306070[CU11],Table1x4306070[RCR]^{1,2,3}),1)</f>
        <v>#VALUE!</v>
      </c>
      <c r="BD26" t="e">
        <f>INDEX(LINEST(Table1x4306070[CU12],Table1x4306070[RCR]^{1,2,3}),1)</f>
        <v>#VALUE!</v>
      </c>
      <c r="BE26" t="e">
        <f>INDEX(LINEST(Table1x4306070[CU13],Table1x4306070[RCR]^{1,2,3}),1)</f>
        <v>#VALUE!</v>
      </c>
      <c r="BF26" t="e">
        <f>INDEX(LINEST(Table1x4306070[CU14],Table1x4306070[RCR]^{1,2,3}),1)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INDEX(LINEST(TablePBL5161[CU],TablePBL5161[RCR]^{1,2,3}),1,2)</f>
        <v>1.3123543123543164</v>
      </c>
      <c r="K27">
        <f>INDEX(LINEST(TablePBL5161[CU1],TablePBL5161[RCR]^{1,2,3}),1,2)</f>
        <v>2.016899766899769</v>
      </c>
      <c r="L27">
        <f>INDEX(LINEST(TablePBL5161[CU2],TablePBL5161[RCR]^{1,2,3}),1,2)</f>
        <v>2.6398601398601418</v>
      </c>
      <c r="M27">
        <f>INDEX(LINEST(TablePBL5161[CU3],TablePBL5161[RCR]^{1,2,3}),1,2)</f>
        <v>1.1958041958042018</v>
      </c>
      <c r="N27">
        <f>INDEX(LINEST(TablePBL5161[CU4],TablePBL5161[RCR]^{1,2,3}),1,2)</f>
        <v>1.850815850815861</v>
      </c>
      <c r="O27">
        <f>INDEX(LINEST(TablePBL5161[CU5],TablePBL5161[RCR]^{1,2,3}),1,2)</f>
        <v>2.3927738927739028</v>
      </c>
      <c r="P27">
        <f>INDEX(LINEST(TablePBL5161[CU6],TablePBL5161[RCR]^{1,2,3}),1,2)</f>
        <v>1.0576923076923093</v>
      </c>
      <c r="Q27">
        <f>INDEX(LINEST(TablePBL5161[CU7],TablePBL5161[RCR]^{1,2,3}),1,2)</f>
        <v>1.5949883449883491</v>
      </c>
      <c r="R27">
        <f>INDEX(LINEST(TablePBL5161[CU8],TablePBL5161[RCR]^{1,2,3}),1,2)</f>
        <v>2.0710955710955732</v>
      </c>
      <c r="S27">
        <f>INDEX(LINEST(TablePBL5161[CU9],TablePBL5161[RCR]^{1,2,3}),1,2)</f>
        <v>1.0110722610722638</v>
      </c>
      <c r="T27">
        <f>INDEX(LINEST(TablePBL5161[CU10],TablePBL5161[RCR]^{1,2,3}),1,2)</f>
        <v>1.4254079254079253</v>
      </c>
      <c r="U27">
        <f>INDEX(LINEST(TablePBL5161[CU11],TablePBL5161[RCR]^{1,2,3}),1,2)</f>
        <v>1.7826340326340382</v>
      </c>
      <c r="V27">
        <f>INDEX(LINEST(TablePBL5161[CU12],TablePBL5161[RCR]^{1,2,3}),1,2)</f>
        <v>1.0285547785547817</v>
      </c>
      <c r="W27">
        <f>INDEX(LINEST(TablePBL5161[CU13],TablePBL5161[RCR]^{1,2,3}),1,2)</f>
        <v>1.3257575757575792</v>
      </c>
      <c r="X27">
        <f>INDEX(LINEST(TablePBL5161[CU14],TablePBL5161[RCR]^{1,2,3}),1,2)</f>
        <v>1.6369463869463887</v>
      </c>
      <c r="Z27" t="s">
        <v>219</v>
      </c>
      <c r="AA27">
        <f>INDEX(LINEST(TablePBLFR5868[CU],TablePBLFR5868[RCR]^{1,2,3}),1,2)</f>
        <v>1.5134032634032635</v>
      </c>
      <c r="AB27">
        <f>INDEX(LINEST(TablePBLFR5868[CU1],TablePBLFR5868[RCR]^{1,2,3}),1,2)</f>
        <v>2.2284382284382374</v>
      </c>
      <c r="AC27">
        <f>INDEX(LINEST(TablePBLFR5868[CU2],TablePBLFR5868[RCR]^{1,2,3}),1,2)</f>
        <v>2.8222610722610795</v>
      </c>
      <c r="AD27">
        <f>INDEX(LINEST(TablePBLFR5868[CU3],TablePBLFR5868[RCR]^{1,2,3}),1,2)</f>
        <v>1.414335664335667</v>
      </c>
      <c r="AE27">
        <f>INDEX(LINEST(TablePBLFR5868[CU4],TablePBLFR5868[RCR]^{1,2,3}),1,2)</f>
        <v>1.9324009324009419</v>
      </c>
      <c r="AF27">
        <f>INDEX(LINEST(TablePBLFR5868[CU5],TablePBLFR5868[RCR]^{1,2,3}),1,2)</f>
        <v>2.5221445221445267</v>
      </c>
      <c r="AG27">
        <f>INDEX(LINEST(TablePBLFR5868[CU6],TablePBLFR5868[RCR]^{1,2,3}),1,2)</f>
        <v>1.3607226107226125</v>
      </c>
      <c r="AH27">
        <f>INDEX(LINEST(TablePBLFR5868[CU7],TablePBLFR5868[RCR]^{1,2,3}),1,2)</f>
        <v>1.6952214452214467</v>
      </c>
      <c r="AI27">
        <f>INDEX(LINEST(TablePBLFR5868[CU8],TablePBLFR5868[RCR]^{1,2,3}),1,2)</f>
        <v>2.3053613053613149</v>
      </c>
      <c r="AJ27">
        <f>INDEX(LINEST(TablePBLFR5868[CU9],TablePBLFR5868[RCR]^{1,2,3}),1,2)</f>
        <v>1.2121212121212168</v>
      </c>
      <c r="AK27">
        <f>INDEX(LINEST(TablePBLFR5868[CU10],TablePBLFR5868[RCR]^{1,2,3}),1,2)</f>
        <v>1.6404428904428909</v>
      </c>
      <c r="AL27">
        <f>INDEX(LINEST(TablePBLFR5868[CU11],TablePBLFR5868[RCR]^{1,2,3}),1,2)</f>
        <v>2.0798368298368373</v>
      </c>
      <c r="AM27">
        <f>INDEX(LINEST(TablePBLFR5868[CU12],TablePBLFR5868[RCR]^{1,2,3}),1,2)</f>
        <v>1.2004662004662017</v>
      </c>
      <c r="AN27">
        <f>INDEX(LINEST(TablePBLFR5868[CU13],TablePBLFR5868[RCR]^{1,2,3}),1,2)</f>
        <v>1.3927738927738988</v>
      </c>
      <c r="AO27">
        <f>INDEX(LINEST(TablePBLFR5868[CU14],TablePBLFR5868[RCR]^{1,2,3}),1,2)</f>
        <v>1.7523310023310075</v>
      </c>
      <c r="AQ27" t="s">
        <v>219</v>
      </c>
      <c r="AR27" t="e">
        <f>INDEX(LINEST(Table1x4306070[CU],Table1x4306070[RCR]^{1,2,3}),1,2)</f>
        <v>#VALUE!</v>
      </c>
      <c r="AS27" t="e">
        <f>INDEX(LINEST(Table1x4306070[CU1],Table1x4306070[RCR]^{1,2,3}),1,2)</f>
        <v>#VALUE!</v>
      </c>
      <c r="AT27" t="e">
        <f>INDEX(LINEST(Table1x4306070[CU2],Table1x4306070[RCR]^{1,2,3}),1,2)</f>
        <v>#VALUE!</v>
      </c>
      <c r="AU27" t="e">
        <f>INDEX(LINEST(Table1x4306070[CU3],Table1x4306070[RCR]^{1,2,3}),1,2)</f>
        <v>#VALUE!</v>
      </c>
      <c r="AV27" t="e">
        <f>INDEX(LINEST(Table1x4306070[CU4],Table1x4306070[RCR]^{1,2,3}),1,2)</f>
        <v>#VALUE!</v>
      </c>
      <c r="AW27" t="e">
        <f>INDEX(LINEST(Table1x4306070[CU5],Table1x4306070[RCR]^{1,2,3}),1,2)</f>
        <v>#VALUE!</v>
      </c>
      <c r="AX27" t="e">
        <f>INDEX(LINEST(Table1x4306070[CU6],Table1x4306070[RCR]^{1,2,3}),1,2)</f>
        <v>#VALUE!</v>
      </c>
      <c r="AY27" t="e">
        <f>INDEX(LINEST(Table1x4306070[CU7],Table1x4306070[RCR]^{1,2,3}),1,2)</f>
        <v>#VALUE!</v>
      </c>
      <c r="AZ27" t="e">
        <f>INDEX(LINEST(Table1x4306070[CU8],Table1x4306070[RCR]^{1,2,3}),1,2)</f>
        <v>#VALUE!</v>
      </c>
      <c r="BA27" t="e">
        <f>INDEX(LINEST(Table1x4306070[CU9],Table1x4306070[RCR]^{1,2,3}),1,2)</f>
        <v>#VALUE!</v>
      </c>
      <c r="BB27" t="e">
        <f>INDEX(LINEST(Table1x4306070[CU10],Table1x4306070[RCR]^{1,2,3}),1,2)</f>
        <v>#VALUE!</v>
      </c>
      <c r="BC27" t="e">
        <f>INDEX(LINEST(Table1x4306070[CU11],Table1x4306070[RCR]^{1,2,3}),1,2)</f>
        <v>#VALUE!</v>
      </c>
      <c r="BD27" t="e">
        <f>INDEX(LINEST(Table1x4306070[CU12],Table1x4306070[RCR]^{1,2,3}),1,2)</f>
        <v>#VALUE!</v>
      </c>
      <c r="BE27" t="e">
        <f>INDEX(LINEST(Table1x4306070[CU13],Table1x4306070[RCR]^{1,2,3}),1,2)</f>
        <v>#VALUE!</v>
      </c>
      <c r="BF27" t="e">
        <f>INDEX(LINEST(Table1x4306070[CU14],Table1x4306070[RCR]^{1,2,3}),1,2)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INDEX(LINEST(TablePBL5161[CU],TablePBL5161[RCR]^{1,2,3}),1,3)</f>
        <v>-16.885003885003893</v>
      </c>
      <c r="K28">
        <f>INDEX(LINEST(TablePBL5161[CU1],TablePBL5161[RCR]^{1,2,3}),1,3)</f>
        <v>-21.402486402486399</v>
      </c>
      <c r="L28">
        <f>INDEX(LINEST(TablePBL5161[CU2],TablePBL5161[RCR]^{1,2,3}),1,3)</f>
        <v>-25.029526029526025</v>
      </c>
      <c r="M28">
        <f>INDEX(LINEST(TablePBL5161[CU3],TablePBL5161[RCR]^{1,2,3}),1,3)</f>
        <v>-16.068764568764589</v>
      </c>
      <c r="N28">
        <f>INDEX(LINEST(TablePBL5161[CU4],TablePBL5161[RCR]^{1,2,3}),1,3)</f>
        <v>-20.244366744366783</v>
      </c>
      <c r="O28">
        <f>INDEX(LINEST(TablePBL5161[CU5],TablePBL5161[RCR]^{1,2,3}),1,3)</f>
        <v>-23.593240093240123</v>
      </c>
      <c r="P28">
        <f>INDEX(LINEST(TablePBL5161[CU6],TablePBL5161[RCR]^{1,2,3}),1,3)</f>
        <v>-14.972804972804973</v>
      </c>
      <c r="Q28">
        <f>INDEX(LINEST(TablePBL5161[CU7],TablePBL5161[RCR]^{1,2,3}),1,3)</f>
        <v>-18.44871794871796</v>
      </c>
      <c r="R28">
        <f>INDEX(LINEST(TablePBL5161[CU8],TablePBL5161[RCR]^{1,2,3}),1,3)</f>
        <v>-21.454933954933949</v>
      </c>
      <c r="S28">
        <f>INDEX(LINEST(TablePBL5161[CU9],TablePBL5161[RCR]^{1,2,3}),1,3)</f>
        <v>-14.079642579642584</v>
      </c>
      <c r="T28">
        <f>INDEX(LINEST(TablePBL5161[CU10],TablePBL5161[RCR]^{1,2,3}),1,3)</f>
        <v>-17.02020202020201</v>
      </c>
      <c r="U28">
        <f>INDEX(LINEST(TablePBL5161[CU11],TablePBL5161[RCR]^{1,2,3}),1,3)</f>
        <v>-19.495337995338012</v>
      </c>
      <c r="V28">
        <f>INDEX(LINEST(TablePBL5161[CU12],TablePBL5161[RCR]^{1,2,3}),1,3)</f>
        <v>-13.738150738150747</v>
      </c>
      <c r="W28">
        <f>INDEX(LINEST(TablePBL5161[CU13],TablePBL5161[RCR]^{1,2,3}),1,3)</f>
        <v>-16.029526029526039</v>
      </c>
      <c r="X28">
        <f>INDEX(LINEST(TablePBL5161[CU14],TablePBL5161[RCR]^{1,2,3}),1,3)</f>
        <v>-18.207459207459209</v>
      </c>
      <c r="Z28" t="s">
        <v>220</v>
      </c>
      <c r="AA28">
        <f>INDEX(LINEST(TablePBLFR5868[CU],TablePBLFR5868[RCR]^{1,2,3}),1,3)</f>
        <v>-17.632867132867119</v>
      </c>
      <c r="AB28">
        <f>INDEX(LINEST(TablePBLFR5868[CU1],TablePBLFR5868[RCR]^{1,2,3}),1,3)</f>
        <v>-22.110722610722643</v>
      </c>
      <c r="AC28">
        <f>INDEX(LINEST(TablePBLFR5868[CU2],TablePBLFR5868[RCR]^{1,2,3}),1,3)</f>
        <v>-25.68997668997671</v>
      </c>
      <c r="AD28">
        <f>INDEX(LINEST(TablePBLFR5868[CU3],TablePBLFR5868[RCR]^{1,2,3}),1,3)</f>
        <v>-16.775446775446781</v>
      </c>
      <c r="AE28">
        <f>INDEX(LINEST(TablePBLFR5868[CU4],TablePBLFR5868[RCR]^{1,2,3}),1,3)</f>
        <v>-20.608780108780142</v>
      </c>
      <c r="AF28">
        <f>INDEX(LINEST(TablePBLFR5868[CU5],TablePBLFR5868[RCR]^{1,2,3}),1,3)</f>
        <v>-24.057109557109566</v>
      </c>
      <c r="AG28">
        <f>INDEX(LINEST(TablePBLFR5868[CU6],TablePBLFR5868[RCR]^{1,2,3}),1,3)</f>
        <v>-15.883838383838384</v>
      </c>
      <c r="AH28">
        <f>INDEX(LINEST(TablePBLFR5868[CU7],TablePBLFR5868[RCR]^{1,2,3}),1,3)</f>
        <v>-18.738150738150736</v>
      </c>
      <c r="AI28">
        <f>INDEX(LINEST(TablePBLFR5868[CU8],TablePBLFR5868[RCR]^{1,2,3}),1,3)</f>
        <v>-22.219114219114257</v>
      </c>
      <c r="AJ28">
        <f>INDEX(LINEST(TablePBLFR5868[CU9],TablePBLFR5868[RCR]^{1,2,3}),1,3)</f>
        <v>-14.827505827505844</v>
      </c>
      <c r="AK28">
        <f>INDEX(LINEST(TablePBLFR5868[CU10],TablePBLFR5868[RCR]^{1,2,3}),1,3)</f>
        <v>-17.690365190365181</v>
      </c>
      <c r="AL28">
        <f>INDEX(LINEST(TablePBLFR5868[CU11],TablePBLFR5868[RCR]^{1,2,3}),1,3)</f>
        <v>-20.465034965034988</v>
      </c>
      <c r="AM28">
        <f>INDEX(LINEST(TablePBLFR5868[CU12],TablePBLFR5868[RCR]^{1,2,3}),1,3)</f>
        <v>-14.121600621600619</v>
      </c>
      <c r="AN28">
        <f>INDEX(LINEST(TablePBLFR5868[CU13],TablePBLFR5868[RCR]^{1,2,3}),1,3)</f>
        <v>-16.049339549339571</v>
      </c>
      <c r="AO28">
        <f>INDEX(LINEST(TablePBLFR5868[CU14],TablePBLFR5868[RCR]^{1,2,3}),1,3)</f>
        <v>-18.385392385392397</v>
      </c>
      <c r="AQ28" t="s">
        <v>220</v>
      </c>
      <c r="AR28" t="e">
        <f>INDEX(LINEST(Table1x4306070[CU],Table1x4306070[RCR]^{1,2,3}),1,3)</f>
        <v>#VALUE!</v>
      </c>
      <c r="AS28" t="e">
        <f>INDEX(LINEST(Table1x4306070[CU1],Table1x4306070[RCR]^{1,2,3}),1,3)</f>
        <v>#VALUE!</v>
      </c>
      <c r="AT28" t="e">
        <f>INDEX(LINEST(Table1x4306070[CU2],Table1x4306070[RCR]^{1,2,3}),1,3)</f>
        <v>#VALUE!</v>
      </c>
      <c r="AU28" t="e">
        <f>INDEX(LINEST(Table1x4306070[CU3],Table1x4306070[RCR]^{1,2,3}),1,3)</f>
        <v>#VALUE!</v>
      </c>
      <c r="AV28" t="e">
        <f>INDEX(LINEST(Table1x4306070[CU4],Table1x4306070[RCR]^{1,2,3}),1,3)</f>
        <v>#VALUE!</v>
      </c>
      <c r="AW28" t="e">
        <f>INDEX(LINEST(Table1x4306070[CU5],Table1x4306070[RCR]^{1,2,3}),1,3)</f>
        <v>#VALUE!</v>
      </c>
      <c r="AX28" t="e">
        <f>INDEX(LINEST(Table1x4306070[CU6],Table1x4306070[RCR]^{1,2,3}),1,3)</f>
        <v>#VALUE!</v>
      </c>
      <c r="AY28" t="e">
        <f>INDEX(LINEST(Table1x4306070[CU7],Table1x4306070[RCR]^{1,2,3}),1,3)</f>
        <v>#VALUE!</v>
      </c>
      <c r="AZ28" t="e">
        <f>INDEX(LINEST(Table1x4306070[CU8],Table1x4306070[RCR]^{1,2,3}),1,3)</f>
        <v>#VALUE!</v>
      </c>
      <c r="BA28" t="e">
        <f>INDEX(LINEST(Table1x4306070[CU9],Table1x4306070[RCR]^{1,2,3}),1,3)</f>
        <v>#VALUE!</v>
      </c>
      <c r="BB28" t="e">
        <f>INDEX(LINEST(Table1x4306070[CU10],Table1x4306070[RCR]^{1,2,3}),1,3)</f>
        <v>#VALUE!</v>
      </c>
      <c r="BC28" t="e">
        <f>INDEX(LINEST(Table1x4306070[CU11],Table1x4306070[RCR]^{1,2,3}),1,3)</f>
        <v>#VALUE!</v>
      </c>
      <c r="BD28" t="e">
        <f>INDEX(LINEST(Table1x4306070[CU12],Table1x4306070[RCR]^{1,2,3}),1,3)</f>
        <v>#VALUE!</v>
      </c>
      <c r="BE28" t="e">
        <f>INDEX(LINEST(Table1x4306070[CU13],Table1x4306070[RCR]^{1,2,3}),1,3)</f>
        <v>#VALUE!</v>
      </c>
      <c r="BF28" t="e">
        <f>INDEX(LINEST(Table1x4306070[CU14],Table1x4306070[RCR]^{1,2,3}),1,3)</f>
        <v>#VALUE!</v>
      </c>
    </row>
    <row r="29" spans="1:63" x14ac:dyDescent="0.25">
      <c r="C29" s="3"/>
      <c r="H29" s="5"/>
      <c r="I29" t="s">
        <v>221</v>
      </c>
      <c r="J29">
        <f>INDEX(LINEST(TablePBL5161[CU],TablePBL5161[RCR]^{1,2,3}),1,4)</f>
        <v>119.15384615384616</v>
      </c>
      <c r="K29">
        <f>INDEX(LINEST(TablePBL5161[CU1],TablePBL5161[RCR]^{1,2,3}),1,4)</f>
        <v>119.03496503496501</v>
      </c>
      <c r="L29">
        <f>INDEX(LINEST(TablePBL5161[CU2],TablePBL5161[RCR]^{1,2,3}),1,4)</f>
        <v>118.67832167832164</v>
      </c>
      <c r="M29">
        <f>INDEX(LINEST(TablePBL5161[CU3],TablePBL5161[RCR]^{1,2,3}),1,4)</f>
        <v>116.24475524475524</v>
      </c>
      <c r="N29">
        <f>INDEX(LINEST(TablePBL5161[CU4],TablePBL5161[RCR]^{1,2,3}),1,4)</f>
        <v>116.04895104895107</v>
      </c>
      <c r="O29">
        <f>INDEX(LINEST(TablePBL5161[CU5],TablePBL5161[RCR]^{1,2,3}),1,4)</f>
        <v>115.67832167832169</v>
      </c>
      <c r="P29">
        <f>INDEX(LINEST(TablePBL5161[CU6],TablePBL5161[RCR]^{1,2,3}),1,4)</f>
        <v>110.98601398601396</v>
      </c>
      <c r="Q29">
        <f>INDEX(LINEST(TablePBL5161[CU7],TablePBL5161[RCR]^{1,2,3}),1,4)</f>
        <v>110.91608391608389</v>
      </c>
      <c r="R29">
        <f>INDEX(LINEST(TablePBL5161[CU8],TablePBL5161[RCR]^{1,2,3}),1,4)</f>
        <v>110.69930069930066</v>
      </c>
      <c r="S29">
        <f>INDEX(LINEST(TablePBL5161[CU9],TablePBL5161[RCR]^{1,2,3}),1,4)</f>
        <v>106.07692307692307</v>
      </c>
      <c r="T29">
        <f>INDEX(LINEST(TablePBL5161[CU10],TablePBL5161[RCR]^{1,2,3}),1,4)</f>
        <v>106.11188811188811</v>
      </c>
      <c r="U29">
        <f>INDEX(LINEST(TablePBL5161[CU11],TablePBL5161[RCR]^{1,2,3}),1,4)</f>
        <v>105.82517482517484</v>
      </c>
      <c r="V29">
        <f>INDEX(LINEST(TablePBL5161[CU12],TablePBL5161[RCR]^{1,2,3}),1,4)</f>
        <v>102.30769230769229</v>
      </c>
      <c r="W29">
        <f>INDEX(LINEST(TablePBL5161[CU13],TablePBL5161[RCR]^{1,2,3}),1,4)</f>
        <v>102.25174825174827</v>
      </c>
      <c r="X29">
        <f>INDEX(LINEST(TablePBL5161[CU14],TablePBL5161[RCR]^{1,2,3}),1,4)</f>
        <v>102.20279720279719</v>
      </c>
      <c r="Z29" t="s">
        <v>221</v>
      </c>
      <c r="AA29">
        <f>INDEX(LINEST(TablePBLFR5868[CU],TablePBLFR5868[RCR]^{1,2,3}),1,4)</f>
        <v>118.9650349650349</v>
      </c>
      <c r="AB29">
        <f>INDEX(LINEST(TablePBLFR5868[CU1],TablePBLFR5868[RCR]^{1,2,3}),1,4)</f>
        <v>118.51048951048953</v>
      </c>
      <c r="AC29">
        <f>INDEX(LINEST(TablePBLFR5868[CU2],TablePBLFR5868[RCR]^{1,2,3}),1,4)</f>
        <v>118.02097902097901</v>
      </c>
      <c r="AD29">
        <f>INDEX(LINEST(TablePBLFR5868[CU3],TablePBLFR5868[RCR]^{1,2,3}),1,4)</f>
        <v>115.71328671328669</v>
      </c>
      <c r="AE29">
        <f>INDEX(LINEST(TablePBLFR5868[CU4],TablePBLFR5868[RCR]^{1,2,3}),1,4)</f>
        <v>115.44755244755245</v>
      </c>
      <c r="AF29">
        <f>INDEX(LINEST(TablePBLFR5868[CU5],TablePBLFR5868[RCR]^{1,2,3}),1,4)</f>
        <v>114.89510489510488</v>
      </c>
      <c r="AG29">
        <f>INDEX(LINEST(TablePBLFR5868[CU6],TablePBLFR5868[RCR]^{1,2,3}),1,4)</f>
        <v>109.81118881118879</v>
      </c>
      <c r="AH29">
        <f>INDEX(LINEST(TablePBLFR5868[CU7],TablePBLFR5868[RCR]^{1,2,3}),1,4)</f>
        <v>109.58041958041954</v>
      </c>
      <c r="AI29">
        <f>INDEX(LINEST(TablePBLFR5868[CU8],TablePBLFR5868[RCR]^{1,2,3}),1,4)</f>
        <v>109.50349650349652</v>
      </c>
      <c r="AJ29">
        <f>INDEX(LINEST(TablePBLFR5868[CU9],TablePBLFR5868[RCR]^{1,2,3}),1,4)</f>
        <v>104.88811188811188</v>
      </c>
      <c r="AK29">
        <f>INDEX(LINEST(TablePBLFR5868[CU10],TablePBLFR5868[RCR]^{1,2,3}),1,4)</f>
        <v>104.6223776223776</v>
      </c>
      <c r="AL29">
        <f>INDEX(LINEST(TablePBLFR5868[CU11],TablePBLFR5868[RCR]^{1,2,3}),1,4)</f>
        <v>104.72027972027973</v>
      </c>
      <c r="AM29">
        <f>INDEX(LINEST(TablePBLFR5868[CU12],TablePBLFR5868[RCR]^{1,2,3}),1,4)</f>
        <v>99.937062937062919</v>
      </c>
      <c r="AN29">
        <f>INDEX(LINEST(TablePBLFR5868[CU13],TablePBLFR5868[RCR]^{1,2,3}),1,4)</f>
        <v>99.902097902097907</v>
      </c>
      <c r="AO29">
        <f>INDEX(LINEST(TablePBLFR5868[CU14],TablePBLFR5868[RCR]^{1,2,3}),1,4)</f>
        <v>99.811188811188799</v>
      </c>
      <c r="AQ29" t="s">
        <v>221</v>
      </c>
      <c r="AR29" t="e">
        <f>INDEX(LINEST(Table1x4306070[CU],Table1x4306070[RCR]^{1,2,3}),1,4)</f>
        <v>#VALUE!</v>
      </c>
      <c r="AS29" t="e">
        <f>INDEX(LINEST(Table1x4306070[CU1],Table1x4306070[RCR]^{1,2,3}),1,4)</f>
        <v>#VALUE!</v>
      </c>
      <c r="AT29" t="e">
        <f>INDEX(LINEST(Table1x4306070[CU2],Table1x4306070[RCR]^{1,2,3}),1,4)</f>
        <v>#VALUE!</v>
      </c>
      <c r="AU29" t="e">
        <f>INDEX(LINEST(Table1x4306070[CU3],Table1x4306070[RCR]^{1,2,3}),1,4)</f>
        <v>#VALUE!</v>
      </c>
      <c r="AV29" t="e">
        <f>INDEX(LINEST(Table1x4306070[CU4],Table1x4306070[RCR]^{1,2,3}),1,4)</f>
        <v>#VALUE!</v>
      </c>
      <c r="AW29" t="e">
        <f>INDEX(LINEST(Table1x4306070[CU5],Table1x4306070[RCR]^{1,2,3}),1,4)</f>
        <v>#VALUE!</v>
      </c>
      <c r="AX29" t="e">
        <f>INDEX(LINEST(Table1x4306070[CU6],Table1x4306070[RCR]^{1,2,3}),1,4)</f>
        <v>#VALUE!</v>
      </c>
      <c r="AY29" t="e">
        <f>INDEX(LINEST(Table1x4306070[CU7],Table1x4306070[RCR]^{1,2,3}),1,4)</f>
        <v>#VALUE!</v>
      </c>
      <c r="AZ29" t="e">
        <f>INDEX(LINEST(Table1x4306070[CU8],Table1x4306070[RCR]^{1,2,3}),1,4)</f>
        <v>#VALUE!</v>
      </c>
      <c r="BA29" t="e">
        <f>INDEX(LINEST(Table1x4306070[CU9],Table1x4306070[RCR]^{1,2,3}),1,4)</f>
        <v>#VALUE!</v>
      </c>
      <c r="BB29" t="e">
        <f>INDEX(LINEST(Table1x4306070[CU10],Table1x4306070[RCR]^{1,2,3}),1,4)</f>
        <v>#VALUE!</v>
      </c>
      <c r="BC29" t="e">
        <f>INDEX(LINEST(Table1x4306070[CU11],Table1x4306070[RCR]^{1,2,3}),1,4)</f>
        <v>#VALUE!</v>
      </c>
      <c r="BD29" t="e">
        <f>INDEX(LINEST(Table1x4306070[CU12],Table1x4306070[RCR]^{1,2,3}),1,4)</f>
        <v>#VALUE!</v>
      </c>
      <c r="BE29" t="e">
        <f>INDEX(LINEST(Table1x4306070[CU13],Table1x4306070[RCR]^{1,2,3}),1,4)</f>
        <v>#VALUE!</v>
      </c>
      <c r="BF29" t="e">
        <f>INDEX(LINEST(Table1x4306070[CU14],Table1x4306070[RCR]^{1,2,3}),1,4)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114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116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116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116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116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116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116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116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116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116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116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116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1.28</v>
      </c>
      <c r="F44" s="12">
        <f>E44*(C14-C15)</f>
        <v>-3.2</v>
      </c>
      <c r="H44" t="s">
        <v>25</v>
      </c>
      <c r="I44">
        <v>30</v>
      </c>
      <c r="J44">
        <v>10</v>
      </c>
      <c r="K44" t="s">
        <v>116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</v>
      </c>
      <c r="F45" s="12">
        <f>E45*(C14-C15)</f>
        <v>-3.25</v>
      </c>
      <c r="H45" t="s">
        <v>27</v>
      </c>
      <c r="I45">
        <v>10</v>
      </c>
      <c r="J45">
        <v>50</v>
      </c>
      <c r="K45" t="s">
        <v>116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116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116</v>
      </c>
      <c r="L47" t="e">
        <f>X25</f>
        <v>#DIV/0!</v>
      </c>
      <c r="N47" t="s">
        <v>11</v>
      </c>
      <c r="P47">
        <v>80</v>
      </c>
      <c r="S47">
        <v>70</v>
      </c>
      <c r="W47">
        <v>50</v>
      </c>
      <c r="Z47">
        <v>30</v>
      </c>
      <c r="AC47">
        <v>10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s="20" t="s">
        <v>13</v>
      </c>
      <c r="I48" s="20">
        <v>80</v>
      </c>
      <c r="J48" s="20">
        <v>50</v>
      </c>
      <c r="K48" s="20" t="s">
        <v>115</v>
      </c>
      <c r="L48" s="20" t="e">
        <f>AA25</f>
        <v>#DIV/0!</v>
      </c>
      <c r="N48" t="s">
        <v>12</v>
      </c>
      <c r="O48">
        <v>50</v>
      </c>
      <c r="P48">
        <v>30</v>
      </c>
      <c r="Q48">
        <v>10</v>
      </c>
      <c r="R48">
        <v>50</v>
      </c>
      <c r="S48">
        <v>30</v>
      </c>
      <c r="T48">
        <v>10</v>
      </c>
      <c r="U48">
        <v>50</v>
      </c>
      <c r="V48">
        <v>30</v>
      </c>
      <c r="W48">
        <v>10</v>
      </c>
      <c r="X48">
        <v>50</v>
      </c>
      <c r="Y48">
        <v>30</v>
      </c>
      <c r="Z48">
        <v>10</v>
      </c>
      <c r="AA48">
        <v>50</v>
      </c>
      <c r="AB48">
        <v>30</v>
      </c>
      <c r="AC48">
        <v>10</v>
      </c>
    </row>
    <row r="49" spans="1:29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115</v>
      </c>
      <c r="L49" t="e">
        <f>AB25</f>
        <v>#DIV/0!</v>
      </c>
    </row>
    <row r="50" spans="1:29" ht="15" customHeight="1" x14ac:dyDescent="0.25">
      <c r="H50" t="s">
        <v>17</v>
      </c>
      <c r="I50">
        <v>80</v>
      </c>
      <c r="J50">
        <v>10</v>
      </c>
      <c r="K50" t="s">
        <v>115</v>
      </c>
      <c r="L50" t="e">
        <f>AC25</f>
        <v>#DIV/0!</v>
      </c>
      <c r="N50">
        <v>0</v>
      </c>
      <c r="O50">
        <v>119</v>
      </c>
      <c r="P50">
        <v>119</v>
      </c>
      <c r="Q50">
        <v>119</v>
      </c>
      <c r="R50">
        <v>116</v>
      </c>
      <c r="S50">
        <v>116</v>
      </c>
      <c r="T50">
        <v>116</v>
      </c>
      <c r="U50">
        <v>110</v>
      </c>
      <c r="V50">
        <v>110</v>
      </c>
      <c r="W50">
        <v>110</v>
      </c>
      <c r="X50">
        <v>105</v>
      </c>
      <c r="Y50">
        <v>105</v>
      </c>
      <c r="Z50">
        <v>105</v>
      </c>
      <c r="AA50">
        <v>100</v>
      </c>
      <c r="AB50">
        <v>100</v>
      </c>
      <c r="AC50">
        <v>100</v>
      </c>
    </row>
    <row r="51" spans="1:29" x14ac:dyDescent="0.25">
      <c r="H51" t="s">
        <v>18</v>
      </c>
      <c r="I51">
        <v>70</v>
      </c>
      <c r="J51">
        <v>50</v>
      </c>
      <c r="K51" t="s">
        <v>115</v>
      </c>
      <c r="L51" t="e">
        <f>AD25</f>
        <v>#DIV/0!</v>
      </c>
      <c r="N51">
        <v>1</v>
      </c>
      <c r="O51">
        <v>103</v>
      </c>
      <c r="P51">
        <v>98</v>
      </c>
      <c r="Q51">
        <v>94</v>
      </c>
      <c r="R51">
        <v>100</v>
      </c>
      <c r="S51">
        <v>96</v>
      </c>
      <c r="T51">
        <v>92</v>
      </c>
      <c r="U51">
        <v>95</v>
      </c>
      <c r="V51">
        <v>92</v>
      </c>
      <c r="W51">
        <v>89</v>
      </c>
      <c r="X51">
        <v>91</v>
      </c>
      <c r="Y51">
        <v>88</v>
      </c>
      <c r="Z51">
        <v>86</v>
      </c>
      <c r="AA51">
        <v>87</v>
      </c>
      <c r="AB51">
        <v>85</v>
      </c>
      <c r="AC51">
        <v>83</v>
      </c>
    </row>
    <row r="52" spans="1:29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115</v>
      </c>
      <c r="L52" t="e">
        <f>AE25</f>
        <v>#DIV/0!</v>
      </c>
      <c r="N52">
        <v>2</v>
      </c>
      <c r="O52">
        <v>89</v>
      </c>
      <c r="P52">
        <v>82</v>
      </c>
      <c r="Q52">
        <v>76</v>
      </c>
      <c r="R52">
        <v>87</v>
      </c>
      <c r="S52">
        <v>81</v>
      </c>
      <c r="T52">
        <v>75</v>
      </c>
      <c r="U52">
        <v>83</v>
      </c>
      <c r="V52">
        <v>78</v>
      </c>
      <c r="W52">
        <v>73</v>
      </c>
      <c r="X52">
        <v>80</v>
      </c>
      <c r="Y52">
        <v>75</v>
      </c>
      <c r="Z52">
        <v>71</v>
      </c>
      <c r="AA52">
        <v>76</v>
      </c>
      <c r="AB52">
        <v>73</v>
      </c>
      <c r="AC52">
        <v>69</v>
      </c>
    </row>
    <row r="53" spans="1:29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115</v>
      </c>
      <c r="L53" t="e">
        <f>AF25</f>
        <v>#DIV/0!</v>
      </c>
      <c r="N53">
        <v>3</v>
      </c>
      <c r="O53">
        <v>78</v>
      </c>
      <c r="P53">
        <v>70</v>
      </c>
      <c r="Q53">
        <v>63</v>
      </c>
      <c r="R53">
        <v>77</v>
      </c>
      <c r="S53">
        <v>69</v>
      </c>
      <c r="T53">
        <v>63</v>
      </c>
      <c r="U53">
        <v>73</v>
      </c>
      <c r="V53">
        <v>67</v>
      </c>
      <c r="W53">
        <v>61</v>
      </c>
      <c r="X53">
        <v>70</v>
      </c>
      <c r="Y53">
        <v>65</v>
      </c>
      <c r="Z53">
        <v>60</v>
      </c>
      <c r="AA53">
        <v>67</v>
      </c>
      <c r="AB53">
        <v>63</v>
      </c>
      <c r="AC53">
        <v>59</v>
      </c>
    </row>
    <row r="54" spans="1:29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115</v>
      </c>
      <c r="L54" t="e">
        <f>AG25</f>
        <v>#DIV/0!</v>
      </c>
      <c r="N54">
        <v>4</v>
      </c>
      <c r="O54">
        <v>69</v>
      </c>
      <c r="P54">
        <v>60</v>
      </c>
      <c r="Q54">
        <v>54</v>
      </c>
      <c r="R54">
        <v>68</v>
      </c>
      <c r="S54">
        <v>60</v>
      </c>
      <c r="T54">
        <v>53</v>
      </c>
      <c r="U54">
        <v>65</v>
      </c>
      <c r="V54">
        <v>58</v>
      </c>
      <c r="W54">
        <v>52</v>
      </c>
      <c r="X54">
        <v>62</v>
      </c>
      <c r="Y54">
        <v>56</v>
      </c>
      <c r="Z54">
        <v>51</v>
      </c>
      <c r="AA54">
        <v>60</v>
      </c>
      <c r="AB54">
        <v>55</v>
      </c>
      <c r="AC54">
        <v>50</v>
      </c>
    </row>
    <row r="55" spans="1:29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115</v>
      </c>
      <c r="L55" t="e">
        <f>AH25</f>
        <v>#DIV/0!</v>
      </c>
      <c r="N55">
        <v>5</v>
      </c>
      <c r="O55">
        <v>62</v>
      </c>
      <c r="P55">
        <v>53</v>
      </c>
      <c r="Q55">
        <v>46</v>
      </c>
      <c r="R55">
        <v>61</v>
      </c>
      <c r="S55">
        <v>52</v>
      </c>
      <c r="T55">
        <v>46</v>
      </c>
      <c r="U55">
        <v>58</v>
      </c>
      <c r="V55">
        <v>51</v>
      </c>
      <c r="W55">
        <v>45</v>
      </c>
      <c r="X55">
        <v>56</v>
      </c>
      <c r="Y55">
        <v>50</v>
      </c>
      <c r="Z55">
        <v>44</v>
      </c>
      <c r="AA55">
        <v>54</v>
      </c>
      <c r="AB55">
        <v>48</v>
      </c>
      <c r="AC55">
        <v>44</v>
      </c>
    </row>
    <row r="56" spans="1:29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115</v>
      </c>
      <c r="L56" t="e">
        <f>AI25</f>
        <v>#DIV/0!</v>
      </c>
      <c r="N56">
        <v>6</v>
      </c>
      <c r="O56">
        <v>56</v>
      </c>
      <c r="P56">
        <v>47</v>
      </c>
      <c r="Q56">
        <v>40</v>
      </c>
      <c r="R56">
        <v>55</v>
      </c>
      <c r="S56">
        <v>46</v>
      </c>
      <c r="T56">
        <v>40</v>
      </c>
      <c r="U56">
        <v>53</v>
      </c>
      <c r="V56">
        <v>45</v>
      </c>
      <c r="W56">
        <v>39</v>
      </c>
      <c r="X56">
        <v>51</v>
      </c>
      <c r="Y56">
        <v>44</v>
      </c>
      <c r="Z56">
        <v>39</v>
      </c>
      <c r="AA56">
        <v>49</v>
      </c>
      <c r="AB56">
        <v>43</v>
      </c>
      <c r="AC56">
        <v>38</v>
      </c>
    </row>
    <row r="57" spans="1:29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115</v>
      </c>
      <c r="L57" t="e">
        <f>AJ25</f>
        <v>#DIV/0!</v>
      </c>
      <c r="N57">
        <v>7</v>
      </c>
      <c r="O57">
        <v>51</v>
      </c>
      <c r="P57">
        <v>42</v>
      </c>
      <c r="Q57">
        <v>36</v>
      </c>
      <c r="R57">
        <v>50</v>
      </c>
      <c r="S57">
        <v>41</v>
      </c>
      <c r="T57">
        <v>35</v>
      </c>
      <c r="U57">
        <v>48</v>
      </c>
      <c r="V57">
        <v>40</v>
      </c>
      <c r="W57">
        <v>35</v>
      </c>
      <c r="X57">
        <v>46</v>
      </c>
      <c r="Y57">
        <v>40</v>
      </c>
      <c r="Z57">
        <v>35</v>
      </c>
      <c r="AA57">
        <v>45</v>
      </c>
      <c r="AB57">
        <v>39</v>
      </c>
      <c r="AC57">
        <v>34</v>
      </c>
    </row>
    <row r="58" spans="1:29" x14ac:dyDescent="0.25">
      <c r="H58" t="s">
        <v>26</v>
      </c>
      <c r="I58">
        <v>30</v>
      </c>
      <c r="J58">
        <v>30</v>
      </c>
      <c r="K58" t="s">
        <v>115</v>
      </c>
      <c r="L58" t="e">
        <f>AK25</f>
        <v>#DIV/0!</v>
      </c>
      <c r="N58">
        <v>8</v>
      </c>
      <c r="O58">
        <v>46</v>
      </c>
      <c r="P58">
        <v>38</v>
      </c>
      <c r="Q58">
        <v>32</v>
      </c>
      <c r="R58">
        <v>45</v>
      </c>
      <c r="S58">
        <v>37</v>
      </c>
      <c r="T58">
        <v>31</v>
      </c>
      <c r="U58">
        <v>44</v>
      </c>
      <c r="V58">
        <v>36</v>
      </c>
      <c r="W58">
        <v>31</v>
      </c>
      <c r="X58">
        <v>42</v>
      </c>
      <c r="Y58">
        <v>36</v>
      </c>
      <c r="Z58">
        <v>31</v>
      </c>
      <c r="AA58">
        <v>41</v>
      </c>
      <c r="AB58">
        <v>35</v>
      </c>
      <c r="AC58">
        <v>31</v>
      </c>
    </row>
    <row r="59" spans="1:29" x14ac:dyDescent="0.25">
      <c r="H59" t="s">
        <v>25</v>
      </c>
      <c r="I59">
        <v>30</v>
      </c>
      <c r="J59">
        <v>10</v>
      </c>
      <c r="K59" t="s">
        <v>115</v>
      </c>
      <c r="L59" t="e">
        <f>AL25</f>
        <v>#DIV/0!</v>
      </c>
      <c r="N59">
        <v>9</v>
      </c>
      <c r="O59">
        <v>42</v>
      </c>
      <c r="P59">
        <v>34</v>
      </c>
      <c r="Q59">
        <v>28</v>
      </c>
      <c r="R59">
        <v>42</v>
      </c>
      <c r="S59">
        <v>34</v>
      </c>
      <c r="T59">
        <v>28</v>
      </c>
      <c r="U59">
        <v>40</v>
      </c>
      <c r="V59">
        <v>33</v>
      </c>
      <c r="W59">
        <v>28</v>
      </c>
      <c r="X59">
        <v>39</v>
      </c>
      <c r="Y59">
        <v>33</v>
      </c>
      <c r="Z59">
        <v>28</v>
      </c>
      <c r="AA59">
        <v>38</v>
      </c>
      <c r="AB59">
        <v>32</v>
      </c>
      <c r="AC59">
        <v>28</v>
      </c>
    </row>
    <row r="60" spans="1:29" x14ac:dyDescent="0.25">
      <c r="H60" t="s">
        <v>27</v>
      </c>
      <c r="I60">
        <v>10</v>
      </c>
      <c r="J60">
        <v>50</v>
      </c>
      <c r="K60" t="s">
        <v>115</v>
      </c>
      <c r="L60" t="e">
        <f>AM25</f>
        <v>#DIV/0!</v>
      </c>
      <c r="N60">
        <v>10</v>
      </c>
      <c r="O60">
        <v>39</v>
      </c>
      <c r="P60">
        <v>31</v>
      </c>
      <c r="Q60">
        <v>26</v>
      </c>
      <c r="R60">
        <v>38</v>
      </c>
      <c r="S60">
        <v>31</v>
      </c>
      <c r="T60">
        <v>26</v>
      </c>
      <c r="U60">
        <v>37</v>
      </c>
      <c r="V60">
        <v>30</v>
      </c>
      <c r="W60">
        <v>25</v>
      </c>
      <c r="X60">
        <v>36</v>
      </c>
      <c r="Y60">
        <v>30</v>
      </c>
      <c r="Z60">
        <v>25</v>
      </c>
      <c r="AA60">
        <v>35</v>
      </c>
      <c r="AB60">
        <v>29</v>
      </c>
      <c r="AC60">
        <v>25</v>
      </c>
    </row>
    <row r="61" spans="1:29" x14ac:dyDescent="0.25">
      <c r="H61" t="s">
        <v>28</v>
      </c>
      <c r="I61">
        <v>10</v>
      </c>
      <c r="J61">
        <v>30</v>
      </c>
      <c r="K61" t="s">
        <v>115</v>
      </c>
      <c r="L61" t="e">
        <f>AN25</f>
        <v>#DIV/0!</v>
      </c>
    </row>
    <row r="62" spans="1:29" x14ac:dyDescent="0.25">
      <c r="H62" t="s">
        <v>29</v>
      </c>
      <c r="I62">
        <v>10</v>
      </c>
      <c r="J62">
        <v>10</v>
      </c>
      <c r="K62" t="s">
        <v>115</v>
      </c>
      <c r="L62" t="e">
        <f>AO25</f>
        <v>#DIV/0!</v>
      </c>
    </row>
    <row r="63" spans="1:29" x14ac:dyDescent="0.25">
      <c r="H63" s="20" t="s">
        <v>13</v>
      </c>
      <c r="I63" s="20">
        <v>80</v>
      </c>
      <c r="J63" s="20">
        <v>50</v>
      </c>
      <c r="K63" s="20"/>
      <c r="L63" s="20" t="e">
        <f>AR25</f>
        <v>#VALUE!</v>
      </c>
    </row>
    <row r="64" spans="1:29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2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2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2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2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2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2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2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2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2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2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2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2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2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114</v>
      </c>
      <c r="S80" t="s">
        <v>135</v>
      </c>
      <c r="T80" t="s">
        <v>136</v>
      </c>
      <c r="V80" t="s">
        <v>138</v>
      </c>
    </row>
    <row r="81" spans="9:22" x14ac:dyDescent="0.25">
      <c r="I81" t="s">
        <v>553</v>
      </c>
      <c r="J81" s="5">
        <v>837</v>
      </c>
      <c r="K81" s="18">
        <v>8</v>
      </c>
      <c r="N81">
        <v>80</v>
      </c>
      <c r="O81">
        <v>50</v>
      </c>
      <c r="P81">
        <v>20</v>
      </c>
      <c r="R81" t="s">
        <v>115</v>
      </c>
      <c r="S81">
        <v>1.26</v>
      </c>
      <c r="T81">
        <v>1.28</v>
      </c>
      <c r="V81">
        <v>0</v>
      </c>
    </row>
    <row r="82" spans="9:22" x14ac:dyDescent="0.25">
      <c r="I82" t="s">
        <v>554</v>
      </c>
      <c r="J82" s="5">
        <v>1950</v>
      </c>
      <c r="K82" s="18">
        <v>17.5</v>
      </c>
      <c r="N82">
        <v>70</v>
      </c>
      <c r="O82">
        <v>30</v>
      </c>
      <c r="R82" t="s">
        <v>116</v>
      </c>
      <c r="S82" s="11">
        <v>1.3</v>
      </c>
      <c r="T82">
        <v>1.28</v>
      </c>
      <c r="V82">
        <v>90</v>
      </c>
    </row>
    <row r="83" spans="9:22" x14ac:dyDescent="0.25">
      <c r="I83" t="s">
        <v>555</v>
      </c>
      <c r="J83" s="5">
        <v>3085</v>
      </c>
      <c r="K83" s="18">
        <v>23</v>
      </c>
      <c r="N83">
        <v>50</v>
      </c>
      <c r="O83">
        <v>10</v>
      </c>
    </row>
    <row r="84" spans="9:22" x14ac:dyDescent="0.25">
      <c r="I84" t="s">
        <v>556</v>
      </c>
      <c r="J84" s="5">
        <v>3963</v>
      </c>
      <c r="K84" s="18">
        <v>32</v>
      </c>
      <c r="N84">
        <v>30</v>
      </c>
    </row>
    <row r="85" spans="9:22" x14ac:dyDescent="0.25">
      <c r="I85" t="s">
        <v>557</v>
      </c>
      <c r="J85" s="5">
        <v>1241</v>
      </c>
      <c r="K85" s="18">
        <v>11</v>
      </c>
      <c r="N85">
        <v>10</v>
      </c>
    </row>
    <row r="86" spans="9:22" x14ac:dyDescent="0.25">
      <c r="I86" t="s">
        <v>558</v>
      </c>
      <c r="J86" s="5">
        <v>3183</v>
      </c>
      <c r="K86" s="18">
        <v>23</v>
      </c>
    </row>
    <row r="87" spans="9:22" x14ac:dyDescent="0.25">
      <c r="I87" t="s">
        <v>559</v>
      </c>
      <c r="J87" s="5">
        <v>4909</v>
      </c>
      <c r="K87" s="18">
        <v>38</v>
      </c>
    </row>
    <row r="88" spans="9:22" x14ac:dyDescent="0.25">
      <c r="I88" t="s">
        <v>560</v>
      </c>
      <c r="J88" s="5">
        <v>6435</v>
      </c>
      <c r="K88" s="18">
        <v>64</v>
      </c>
    </row>
    <row r="89" spans="9:22" x14ac:dyDescent="0.25">
      <c r="I89" t="s">
        <v>561</v>
      </c>
      <c r="J89" s="5">
        <v>2305</v>
      </c>
      <c r="K89" s="18">
        <v>18</v>
      </c>
    </row>
    <row r="90" spans="9:22" x14ac:dyDescent="0.25">
      <c r="I90" t="s">
        <v>562</v>
      </c>
      <c r="J90" s="5">
        <v>3832</v>
      </c>
      <c r="K90" s="18">
        <v>32</v>
      </c>
    </row>
    <row r="91" spans="9:22" x14ac:dyDescent="0.25">
      <c r="I91" t="s">
        <v>563</v>
      </c>
      <c r="J91" s="5">
        <v>4829</v>
      </c>
      <c r="K91" s="18">
        <v>36</v>
      </c>
    </row>
    <row r="92" spans="9:22" x14ac:dyDescent="0.25">
      <c r="I92" t="s">
        <v>564</v>
      </c>
      <c r="J92" s="5">
        <v>6705</v>
      </c>
      <c r="K92" s="18">
        <v>46</v>
      </c>
    </row>
    <row r="93" spans="9:22" x14ac:dyDescent="0.25">
      <c r="I93" t="s">
        <v>565</v>
      </c>
      <c r="J93" s="5">
        <v>8901</v>
      </c>
      <c r="K93" s="18">
        <v>68</v>
      </c>
    </row>
    <row r="94" spans="9:22" x14ac:dyDescent="0.25">
      <c r="I94" t="s">
        <v>566</v>
      </c>
      <c r="J94" s="5">
        <v>3119</v>
      </c>
      <c r="K94" s="18">
        <v>22</v>
      </c>
    </row>
    <row r="95" spans="9:22" x14ac:dyDescent="0.25">
      <c r="I95" t="s">
        <v>567</v>
      </c>
      <c r="J95" s="5">
        <v>6482</v>
      </c>
      <c r="K95" s="18">
        <v>54</v>
      </c>
    </row>
    <row r="96" spans="9:22" x14ac:dyDescent="0.25">
      <c r="I96" t="s">
        <v>568</v>
      </c>
      <c r="J96" s="5">
        <v>9854</v>
      </c>
      <c r="K96" s="18">
        <v>70</v>
      </c>
    </row>
    <row r="97" spans="9:11" x14ac:dyDescent="0.25">
      <c r="I97" t="s">
        <v>569</v>
      </c>
      <c r="J97" s="5">
        <v>12423</v>
      </c>
      <c r="K97" s="18">
        <v>95</v>
      </c>
    </row>
    <row r="98" spans="9:11" x14ac:dyDescent="0.25">
      <c r="I98" t="s">
        <v>570</v>
      </c>
      <c r="J98" s="5">
        <v>4240</v>
      </c>
      <c r="K98" s="18">
        <v>30</v>
      </c>
    </row>
    <row r="99" spans="9:11" x14ac:dyDescent="0.25">
      <c r="I99" t="s">
        <v>571</v>
      </c>
      <c r="J99" s="5">
        <v>6125</v>
      </c>
      <c r="K99" s="18">
        <v>44</v>
      </c>
    </row>
    <row r="100" spans="9:11" x14ac:dyDescent="0.25">
      <c r="I100" t="s">
        <v>572</v>
      </c>
      <c r="J100" s="5">
        <v>8033</v>
      </c>
      <c r="K100" s="18">
        <v>64</v>
      </c>
    </row>
    <row r="101" spans="9:11" x14ac:dyDescent="0.25">
      <c r="I101" t="s">
        <v>573</v>
      </c>
      <c r="J101" s="5">
        <v>8050</v>
      </c>
      <c r="K101" s="18">
        <v>56</v>
      </c>
    </row>
    <row r="102" spans="9:11" x14ac:dyDescent="0.25">
      <c r="I102" t="s">
        <v>574</v>
      </c>
      <c r="J102" s="5">
        <v>10765</v>
      </c>
      <c r="K102" s="18">
        <v>78</v>
      </c>
    </row>
    <row r="103" spans="9:11" x14ac:dyDescent="0.25">
      <c r="I103" t="s">
        <v>575</v>
      </c>
      <c r="J103" s="5">
        <v>12412</v>
      </c>
      <c r="K103" s="18">
        <v>87</v>
      </c>
    </row>
    <row r="104" spans="9:11" x14ac:dyDescent="0.25">
      <c r="I104" t="s">
        <v>576</v>
      </c>
      <c r="J104" s="5">
        <v>17316</v>
      </c>
      <c r="K104" s="18">
        <v>135</v>
      </c>
    </row>
    <row r="105" spans="9:11" x14ac:dyDescent="0.25">
      <c r="I105" t="s">
        <v>577</v>
      </c>
      <c r="J105" s="5">
        <v>804</v>
      </c>
      <c r="K105" s="18">
        <v>8</v>
      </c>
    </row>
    <row r="106" spans="9:11" x14ac:dyDescent="0.25">
      <c r="I106" t="s">
        <v>578</v>
      </c>
      <c r="J106" s="5">
        <v>1852</v>
      </c>
      <c r="K106" s="18">
        <v>17.5</v>
      </c>
    </row>
    <row r="107" spans="9:11" x14ac:dyDescent="0.25">
      <c r="I107" t="s">
        <v>579</v>
      </c>
      <c r="J107" s="5">
        <v>2960</v>
      </c>
      <c r="K107" s="18">
        <v>23</v>
      </c>
    </row>
    <row r="108" spans="9:11" x14ac:dyDescent="0.25">
      <c r="I108" t="s">
        <v>580</v>
      </c>
      <c r="J108" s="5">
        <v>3804</v>
      </c>
      <c r="K108" s="18">
        <v>32</v>
      </c>
    </row>
    <row r="109" spans="9:11" x14ac:dyDescent="0.25">
      <c r="I109" t="s">
        <v>581</v>
      </c>
      <c r="J109" s="5">
        <v>1191</v>
      </c>
      <c r="K109" s="18">
        <v>11</v>
      </c>
    </row>
    <row r="110" spans="9:11" x14ac:dyDescent="0.25">
      <c r="I110" t="s">
        <v>582</v>
      </c>
      <c r="J110" s="5">
        <v>3055</v>
      </c>
      <c r="K110" s="18">
        <v>23</v>
      </c>
    </row>
    <row r="111" spans="9:11" x14ac:dyDescent="0.25">
      <c r="I111" t="s">
        <v>583</v>
      </c>
      <c r="J111" s="5">
        <v>4711</v>
      </c>
      <c r="K111" s="18">
        <v>38</v>
      </c>
    </row>
    <row r="112" spans="9:11" x14ac:dyDescent="0.25">
      <c r="I112" t="s">
        <v>584</v>
      </c>
      <c r="J112" s="5">
        <v>6176</v>
      </c>
      <c r="K112" s="18">
        <v>64</v>
      </c>
    </row>
    <row r="113" spans="9:11" x14ac:dyDescent="0.25">
      <c r="I113" t="s">
        <v>585</v>
      </c>
      <c r="J113" s="5">
        <v>2212</v>
      </c>
      <c r="K113" s="18">
        <v>18</v>
      </c>
    </row>
    <row r="114" spans="9:11" x14ac:dyDescent="0.25">
      <c r="I114" t="s">
        <v>586</v>
      </c>
      <c r="J114" s="5">
        <v>3640</v>
      </c>
      <c r="K114" s="18">
        <v>32</v>
      </c>
    </row>
    <row r="115" spans="9:11" x14ac:dyDescent="0.25">
      <c r="I115" t="s">
        <v>587</v>
      </c>
      <c r="J115" s="5">
        <v>4635</v>
      </c>
      <c r="K115" s="18">
        <v>36</v>
      </c>
    </row>
    <row r="116" spans="9:11" x14ac:dyDescent="0.25">
      <c r="I116" t="s">
        <v>588</v>
      </c>
      <c r="J116" s="5">
        <v>6436</v>
      </c>
      <c r="K116" s="18">
        <v>46</v>
      </c>
    </row>
    <row r="117" spans="9:11" x14ac:dyDescent="0.25">
      <c r="I117" t="s">
        <v>589</v>
      </c>
      <c r="J117" s="5">
        <v>8543</v>
      </c>
      <c r="K117" s="18">
        <v>68</v>
      </c>
    </row>
    <row r="118" spans="9:11" x14ac:dyDescent="0.25">
      <c r="I118" t="s">
        <v>590</v>
      </c>
      <c r="J118" s="5">
        <v>2994</v>
      </c>
      <c r="K118" s="18">
        <v>22</v>
      </c>
    </row>
    <row r="119" spans="9:11" x14ac:dyDescent="0.25">
      <c r="I119" t="s">
        <v>591</v>
      </c>
      <c r="J119" s="5">
        <v>6221</v>
      </c>
      <c r="K119" s="18">
        <v>54</v>
      </c>
    </row>
    <row r="120" spans="9:11" x14ac:dyDescent="0.25">
      <c r="I120" t="s">
        <v>592</v>
      </c>
      <c r="J120" s="5">
        <v>9457</v>
      </c>
      <c r="K120" s="18">
        <v>70</v>
      </c>
    </row>
    <row r="121" spans="9:11" x14ac:dyDescent="0.25">
      <c r="I121" t="s">
        <v>593</v>
      </c>
      <c r="J121" s="5">
        <v>11923</v>
      </c>
      <c r="K121" s="18">
        <v>95</v>
      </c>
    </row>
    <row r="122" spans="9:11" x14ac:dyDescent="0.25">
      <c r="I122" t="s">
        <v>594</v>
      </c>
      <c r="J122" s="5">
        <v>4070</v>
      </c>
      <c r="K122" s="18">
        <v>30</v>
      </c>
    </row>
    <row r="123" spans="9:11" x14ac:dyDescent="0.25">
      <c r="I123" t="s">
        <v>595</v>
      </c>
      <c r="J123" s="5">
        <v>5878</v>
      </c>
      <c r="K123" s="18">
        <v>44</v>
      </c>
    </row>
    <row r="124" spans="9:11" x14ac:dyDescent="0.25">
      <c r="I124" t="s">
        <v>596</v>
      </c>
      <c r="J124" s="5">
        <v>7709</v>
      </c>
      <c r="K124" s="18">
        <v>64</v>
      </c>
    </row>
    <row r="125" spans="9:11" x14ac:dyDescent="0.25">
      <c r="I125" t="s">
        <v>597</v>
      </c>
      <c r="J125" s="5">
        <v>7726</v>
      </c>
      <c r="K125" s="18">
        <v>56</v>
      </c>
    </row>
    <row r="126" spans="9:11" x14ac:dyDescent="0.25">
      <c r="I126" t="s">
        <v>598</v>
      </c>
      <c r="J126" s="5">
        <v>10331</v>
      </c>
      <c r="K126" s="18">
        <v>78</v>
      </c>
    </row>
    <row r="127" spans="9:11" x14ac:dyDescent="0.25">
      <c r="I127" t="s">
        <v>599</v>
      </c>
      <c r="J127" s="5">
        <v>11912</v>
      </c>
      <c r="K127" s="18">
        <v>87</v>
      </c>
    </row>
    <row r="128" spans="9:11" x14ac:dyDescent="0.25">
      <c r="I128" t="s">
        <v>600</v>
      </c>
      <c r="J128" s="5">
        <v>16619</v>
      </c>
      <c r="K128" s="18">
        <v>135</v>
      </c>
    </row>
    <row r="129" spans="9:11" x14ac:dyDescent="0.25">
      <c r="I129" t="s">
        <v>601</v>
      </c>
      <c r="J129" s="5">
        <v>863</v>
      </c>
      <c r="K129" s="18">
        <v>8</v>
      </c>
    </row>
    <row r="130" spans="9:11" x14ac:dyDescent="0.25">
      <c r="I130" t="s">
        <v>602</v>
      </c>
      <c r="J130" s="5">
        <v>2011</v>
      </c>
      <c r="K130" s="18">
        <v>17.5</v>
      </c>
    </row>
    <row r="131" spans="9:11" x14ac:dyDescent="0.25">
      <c r="I131" t="s">
        <v>603</v>
      </c>
      <c r="J131" s="5">
        <v>3180</v>
      </c>
      <c r="K131" s="18">
        <v>23</v>
      </c>
    </row>
    <row r="132" spans="9:11" x14ac:dyDescent="0.25">
      <c r="I132" t="s">
        <v>604</v>
      </c>
      <c r="J132" s="5">
        <v>4086</v>
      </c>
      <c r="K132" s="18">
        <v>32</v>
      </c>
    </row>
    <row r="133" spans="9:11" x14ac:dyDescent="0.25">
      <c r="I133" t="s">
        <v>605</v>
      </c>
      <c r="J133" s="5">
        <v>1279</v>
      </c>
      <c r="K133" s="18">
        <v>11</v>
      </c>
    </row>
    <row r="134" spans="9:11" x14ac:dyDescent="0.25">
      <c r="I134" t="s">
        <v>606</v>
      </c>
      <c r="J134" s="5">
        <v>3282</v>
      </c>
      <c r="K134" s="18">
        <v>23</v>
      </c>
    </row>
    <row r="135" spans="9:11" x14ac:dyDescent="0.25">
      <c r="I135" t="s">
        <v>607</v>
      </c>
      <c r="J135" s="5">
        <v>5061</v>
      </c>
      <c r="K135" s="18">
        <v>38</v>
      </c>
    </row>
    <row r="136" spans="9:11" x14ac:dyDescent="0.25">
      <c r="I136" t="s">
        <v>608</v>
      </c>
      <c r="J136" s="5">
        <v>6634</v>
      </c>
      <c r="K136" s="18">
        <v>64</v>
      </c>
    </row>
    <row r="137" spans="9:11" x14ac:dyDescent="0.25">
      <c r="I137" t="s">
        <v>609</v>
      </c>
      <c r="J137" s="5">
        <v>2376</v>
      </c>
      <c r="K137" s="18">
        <v>18</v>
      </c>
    </row>
    <row r="138" spans="9:11" x14ac:dyDescent="0.25">
      <c r="I138" t="s">
        <v>610</v>
      </c>
      <c r="J138" s="5">
        <v>3950</v>
      </c>
      <c r="K138" s="18">
        <v>32</v>
      </c>
    </row>
    <row r="139" spans="9:11" x14ac:dyDescent="0.25">
      <c r="I139" t="s">
        <v>611</v>
      </c>
      <c r="J139" s="5">
        <v>4978</v>
      </c>
      <c r="K139" s="18">
        <v>36</v>
      </c>
    </row>
    <row r="140" spans="9:11" x14ac:dyDescent="0.25">
      <c r="I140" t="s">
        <v>612</v>
      </c>
      <c r="J140" s="5">
        <v>6913</v>
      </c>
      <c r="K140" s="18">
        <v>46</v>
      </c>
    </row>
    <row r="141" spans="9:11" x14ac:dyDescent="0.25">
      <c r="I141" t="s">
        <v>613</v>
      </c>
      <c r="J141" s="5">
        <v>9177</v>
      </c>
      <c r="K141" s="18">
        <v>68</v>
      </c>
    </row>
    <row r="142" spans="9:11" x14ac:dyDescent="0.25">
      <c r="I142" t="s">
        <v>614</v>
      </c>
      <c r="J142" s="5">
        <v>3216</v>
      </c>
      <c r="K142" s="18">
        <v>22</v>
      </c>
    </row>
    <row r="143" spans="9:11" x14ac:dyDescent="0.25">
      <c r="I143" t="s">
        <v>615</v>
      </c>
      <c r="J143" s="5">
        <v>6682</v>
      </c>
      <c r="K143" s="18">
        <v>54</v>
      </c>
    </row>
    <row r="144" spans="9:11" x14ac:dyDescent="0.25">
      <c r="I144" t="s">
        <v>616</v>
      </c>
      <c r="J144" s="5">
        <v>10159</v>
      </c>
      <c r="K144" s="18">
        <v>70</v>
      </c>
    </row>
    <row r="145" spans="9:11" x14ac:dyDescent="0.25">
      <c r="I145" t="s">
        <v>617</v>
      </c>
      <c r="J145" s="5">
        <v>12807</v>
      </c>
      <c r="K145" s="18">
        <v>95</v>
      </c>
    </row>
    <row r="146" spans="9:11" x14ac:dyDescent="0.25">
      <c r="I146" t="s">
        <v>618</v>
      </c>
      <c r="J146" s="5">
        <v>4371</v>
      </c>
      <c r="K146" s="18">
        <v>30</v>
      </c>
    </row>
    <row r="147" spans="9:11" x14ac:dyDescent="0.25">
      <c r="I147" t="s">
        <v>619</v>
      </c>
      <c r="J147" s="5">
        <v>6314</v>
      </c>
      <c r="K147" s="18">
        <v>44</v>
      </c>
    </row>
    <row r="148" spans="9:11" x14ac:dyDescent="0.25">
      <c r="I148" t="s">
        <v>620</v>
      </c>
      <c r="J148" s="5">
        <v>8281</v>
      </c>
      <c r="K148" s="18">
        <v>64</v>
      </c>
    </row>
    <row r="149" spans="9:11" x14ac:dyDescent="0.25">
      <c r="I149" t="s">
        <v>621</v>
      </c>
      <c r="J149" s="5">
        <v>8299</v>
      </c>
      <c r="K149" s="18">
        <v>56</v>
      </c>
    </row>
    <row r="150" spans="9:11" x14ac:dyDescent="0.25">
      <c r="I150" t="s">
        <v>622</v>
      </c>
      <c r="J150" s="5">
        <v>11098</v>
      </c>
      <c r="K150" s="18">
        <v>78</v>
      </c>
    </row>
    <row r="151" spans="9:11" x14ac:dyDescent="0.25">
      <c r="I151" t="s">
        <v>623</v>
      </c>
      <c r="J151" s="5">
        <v>12796</v>
      </c>
      <c r="K151" s="18">
        <v>87</v>
      </c>
    </row>
    <row r="152" spans="9:11" x14ac:dyDescent="0.25">
      <c r="I152" t="s">
        <v>624</v>
      </c>
      <c r="J152" s="5">
        <v>17852</v>
      </c>
      <c r="K152" s="18">
        <v>135</v>
      </c>
    </row>
    <row r="153" spans="9:11" x14ac:dyDescent="0.25">
      <c r="I153" t="s">
        <v>625</v>
      </c>
      <c r="J153" s="5">
        <v>828</v>
      </c>
      <c r="K153" s="18">
        <v>8</v>
      </c>
    </row>
    <row r="154" spans="9:11" x14ac:dyDescent="0.25">
      <c r="I154" t="s">
        <v>626</v>
      </c>
      <c r="J154" s="5">
        <v>1910</v>
      </c>
      <c r="K154" s="18">
        <v>17.5</v>
      </c>
    </row>
    <row r="155" spans="9:11" x14ac:dyDescent="0.25">
      <c r="I155" t="s">
        <v>627</v>
      </c>
      <c r="J155" s="5">
        <v>3052</v>
      </c>
      <c r="K155" s="18">
        <v>23</v>
      </c>
    </row>
    <row r="156" spans="9:11" x14ac:dyDescent="0.25">
      <c r="I156" s="16" t="s">
        <v>628</v>
      </c>
      <c r="J156" s="19">
        <v>3921</v>
      </c>
      <c r="K156" s="19">
        <v>32</v>
      </c>
    </row>
    <row r="157" spans="9:11" x14ac:dyDescent="0.25">
      <c r="I157" s="16" t="s">
        <v>629</v>
      </c>
      <c r="J157" s="19">
        <v>1228</v>
      </c>
      <c r="K157" s="19">
        <v>11</v>
      </c>
    </row>
    <row r="158" spans="9:11" x14ac:dyDescent="0.25">
      <c r="I158" s="16" t="s">
        <v>630</v>
      </c>
      <c r="J158" s="19">
        <v>3150</v>
      </c>
      <c r="K158" s="19">
        <v>23</v>
      </c>
    </row>
    <row r="159" spans="9:11" x14ac:dyDescent="0.25">
      <c r="I159" s="16" t="s">
        <v>631</v>
      </c>
      <c r="J159" s="19">
        <v>4857</v>
      </c>
      <c r="K159" s="19">
        <v>38</v>
      </c>
    </row>
    <row r="160" spans="9:11" x14ac:dyDescent="0.25">
      <c r="I160" s="16" t="s">
        <v>632</v>
      </c>
      <c r="J160" s="19">
        <v>6367</v>
      </c>
      <c r="K160" s="19">
        <v>64</v>
      </c>
    </row>
    <row r="161" spans="9:11" x14ac:dyDescent="0.25">
      <c r="I161" s="16" t="s">
        <v>633</v>
      </c>
      <c r="J161" s="19">
        <v>2280</v>
      </c>
      <c r="K161" s="19">
        <v>18</v>
      </c>
    </row>
    <row r="162" spans="9:11" x14ac:dyDescent="0.25">
      <c r="I162" s="16" t="s">
        <v>634</v>
      </c>
      <c r="J162" s="19">
        <v>3752</v>
      </c>
      <c r="K162" s="19">
        <v>32</v>
      </c>
    </row>
    <row r="163" spans="9:11" x14ac:dyDescent="0.25">
      <c r="I163" s="16" t="s">
        <v>635</v>
      </c>
      <c r="J163" s="19">
        <v>4778</v>
      </c>
      <c r="K163" s="19">
        <v>36</v>
      </c>
    </row>
    <row r="164" spans="9:11" x14ac:dyDescent="0.25">
      <c r="I164" s="16" t="s">
        <v>636</v>
      </c>
      <c r="J164" s="19">
        <v>6635</v>
      </c>
      <c r="K164" s="19">
        <v>46</v>
      </c>
    </row>
    <row r="165" spans="9:11" x14ac:dyDescent="0.25">
      <c r="I165" s="16" t="s">
        <v>637</v>
      </c>
      <c r="J165" s="19">
        <v>8807</v>
      </c>
      <c r="K165" s="19">
        <v>68</v>
      </c>
    </row>
    <row r="166" spans="9:11" x14ac:dyDescent="0.25">
      <c r="I166" s="16" t="s">
        <v>638</v>
      </c>
      <c r="J166" s="19">
        <v>3086</v>
      </c>
      <c r="K166" s="19">
        <v>22</v>
      </c>
    </row>
    <row r="167" spans="9:11" x14ac:dyDescent="0.25">
      <c r="I167" s="16" t="s">
        <v>639</v>
      </c>
      <c r="J167" s="19">
        <v>6413</v>
      </c>
      <c r="K167" s="19">
        <v>54</v>
      </c>
    </row>
    <row r="168" spans="9:11" x14ac:dyDescent="0.25">
      <c r="I168" s="16" t="s">
        <v>640</v>
      </c>
      <c r="J168" s="19">
        <v>9750</v>
      </c>
      <c r="K168" s="19">
        <v>70</v>
      </c>
    </row>
    <row r="169" spans="9:11" x14ac:dyDescent="0.25">
      <c r="I169" s="16" t="s">
        <v>641</v>
      </c>
      <c r="J169" s="19">
        <v>12292</v>
      </c>
      <c r="K169" s="19">
        <v>95</v>
      </c>
    </row>
    <row r="170" spans="9:11" x14ac:dyDescent="0.25">
      <c r="I170" s="16" t="s">
        <v>642</v>
      </c>
      <c r="J170" s="19">
        <v>4195</v>
      </c>
      <c r="K170" s="19">
        <v>30</v>
      </c>
    </row>
    <row r="171" spans="9:11" x14ac:dyDescent="0.25">
      <c r="I171" s="16" t="s">
        <v>643</v>
      </c>
      <c r="J171" s="19">
        <v>6060</v>
      </c>
      <c r="K171" s="19">
        <v>44</v>
      </c>
    </row>
    <row r="172" spans="9:11" x14ac:dyDescent="0.25">
      <c r="I172" s="16" t="s">
        <v>644</v>
      </c>
      <c r="J172" s="19">
        <v>7948</v>
      </c>
      <c r="K172" s="19">
        <v>64</v>
      </c>
    </row>
    <row r="173" spans="9:11" x14ac:dyDescent="0.25">
      <c r="I173" s="16" t="s">
        <v>645</v>
      </c>
      <c r="J173" s="19">
        <v>7965</v>
      </c>
      <c r="K173" s="19">
        <v>56</v>
      </c>
    </row>
    <row r="174" spans="9:11" x14ac:dyDescent="0.25">
      <c r="I174" s="16" t="s">
        <v>646</v>
      </c>
      <c r="J174" s="19">
        <v>10651</v>
      </c>
      <c r="K174" s="19">
        <v>78</v>
      </c>
    </row>
    <row r="175" spans="9:11" x14ac:dyDescent="0.25">
      <c r="I175" s="16" t="s">
        <v>647</v>
      </c>
      <c r="J175" s="19">
        <v>12281</v>
      </c>
      <c r="K175" s="19">
        <v>87</v>
      </c>
    </row>
    <row r="176" spans="9:11" x14ac:dyDescent="0.25">
      <c r="I176" s="16" t="s">
        <v>648</v>
      </c>
      <c r="J176" s="19">
        <v>17133</v>
      </c>
      <c r="K176" s="19">
        <v>135</v>
      </c>
    </row>
    <row r="177" spans="9:11" x14ac:dyDescent="0.25">
      <c r="I177" s="16" t="s">
        <v>649</v>
      </c>
      <c r="J177" s="19">
        <v>889</v>
      </c>
      <c r="K177" s="19">
        <v>8</v>
      </c>
    </row>
    <row r="178" spans="9:11" x14ac:dyDescent="0.25">
      <c r="I178" s="16" t="s">
        <v>650</v>
      </c>
      <c r="J178" s="19">
        <v>2071</v>
      </c>
      <c r="K178" s="19">
        <v>17.5</v>
      </c>
    </row>
    <row r="179" spans="9:11" x14ac:dyDescent="0.25">
      <c r="I179" s="16" t="s">
        <v>651</v>
      </c>
      <c r="J179" s="19">
        <v>3275</v>
      </c>
      <c r="K179" s="19">
        <v>23</v>
      </c>
    </row>
    <row r="180" spans="9:11" x14ac:dyDescent="0.25">
      <c r="I180" s="16" t="s">
        <v>652</v>
      </c>
      <c r="J180" s="19">
        <v>4208</v>
      </c>
      <c r="K180" s="19">
        <v>32</v>
      </c>
    </row>
    <row r="181" spans="9:11" x14ac:dyDescent="0.25">
      <c r="I181" s="16" t="s">
        <v>653</v>
      </c>
      <c r="J181" s="19">
        <v>1318</v>
      </c>
      <c r="K181" s="19">
        <v>11</v>
      </c>
    </row>
    <row r="182" spans="9:11" x14ac:dyDescent="0.25">
      <c r="I182" s="16" t="s">
        <v>654</v>
      </c>
      <c r="J182" s="19">
        <v>3380</v>
      </c>
      <c r="K182" s="19">
        <v>23</v>
      </c>
    </row>
    <row r="183" spans="9:11" x14ac:dyDescent="0.25">
      <c r="I183" s="16" t="s">
        <v>655</v>
      </c>
      <c r="J183" s="19">
        <v>5212</v>
      </c>
      <c r="K183" s="19">
        <v>38</v>
      </c>
    </row>
    <row r="184" spans="9:11" x14ac:dyDescent="0.25">
      <c r="I184" s="16" t="s">
        <v>656</v>
      </c>
      <c r="J184" s="19">
        <v>6833</v>
      </c>
      <c r="K184" s="19">
        <v>64</v>
      </c>
    </row>
    <row r="185" spans="9:11" x14ac:dyDescent="0.25">
      <c r="I185" s="16" t="s">
        <v>657</v>
      </c>
      <c r="J185" s="19">
        <v>2447</v>
      </c>
      <c r="K185" s="19">
        <v>18</v>
      </c>
    </row>
    <row r="186" spans="9:11" x14ac:dyDescent="0.25">
      <c r="I186" s="16" t="s">
        <v>658</v>
      </c>
      <c r="J186" s="19">
        <v>4069</v>
      </c>
      <c r="K186" s="19">
        <v>32</v>
      </c>
    </row>
    <row r="187" spans="9:11" x14ac:dyDescent="0.25">
      <c r="I187" s="16" t="s">
        <v>659</v>
      </c>
      <c r="J187" s="19">
        <v>5128</v>
      </c>
      <c r="K187" s="19">
        <v>36</v>
      </c>
    </row>
    <row r="188" spans="9:11" x14ac:dyDescent="0.25">
      <c r="I188" s="16" t="s">
        <v>660</v>
      </c>
      <c r="J188" s="19">
        <v>7120</v>
      </c>
      <c r="K188" s="19">
        <v>46</v>
      </c>
    </row>
    <row r="189" spans="9:11" x14ac:dyDescent="0.25">
      <c r="I189" s="16" t="s">
        <v>661</v>
      </c>
      <c r="J189" s="19">
        <v>9452</v>
      </c>
      <c r="K189" s="19">
        <v>68</v>
      </c>
    </row>
    <row r="190" spans="9:11" x14ac:dyDescent="0.25">
      <c r="I190" s="16" t="s">
        <v>662</v>
      </c>
      <c r="J190" s="19">
        <v>3312</v>
      </c>
      <c r="K190" s="19">
        <v>22</v>
      </c>
    </row>
    <row r="191" spans="9:11" x14ac:dyDescent="0.25">
      <c r="I191" s="16" t="s">
        <v>663</v>
      </c>
      <c r="J191" s="19">
        <v>6883</v>
      </c>
      <c r="K191" s="19">
        <v>54</v>
      </c>
    </row>
    <row r="192" spans="9:11" x14ac:dyDescent="0.25">
      <c r="I192" s="16" t="s">
        <v>664</v>
      </c>
      <c r="J192" s="19">
        <v>10463</v>
      </c>
      <c r="K192" s="19">
        <v>70</v>
      </c>
    </row>
    <row r="193" spans="9:11" x14ac:dyDescent="0.25">
      <c r="I193" s="16" t="s">
        <v>665</v>
      </c>
      <c r="J193" s="19">
        <v>13192</v>
      </c>
      <c r="K193" s="19">
        <v>95</v>
      </c>
    </row>
    <row r="194" spans="9:11" x14ac:dyDescent="0.25">
      <c r="I194" s="16" t="s">
        <v>666</v>
      </c>
      <c r="J194" s="19">
        <v>4503</v>
      </c>
      <c r="K194" s="19">
        <v>30</v>
      </c>
    </row>
    <row r="195" spans="9:11" x14ac:dyDescent="0.25">
      <c r="I195" s="16" t="s">
        <v>667</v>
      </c>
      <c r="J195" s="19">
        <v>6504</v>
      </c>
      <c r="K195" s="19">
        <v>44</v>
      </c>
    </row>
    <row r="196" spans="9:11" x14ac:dyDescent="0.25">
      <c r="I196" s="16" t="s">
        <v>668</v>
      </c>
      <c r="J196" s="19">
        <v>8530</v>
      </c>
      <c r="K196" s="19">
        <v>64</v>
      </c>
    </row>
    <row r="197" spans="9:11" x14ac:dyDescent="0.25">
      <c r="I197" s="16" t="s">
        <v>669</v>
      </c>
      <c r="J197" s="19">
        <v>8548</v>
      </c>
      <c r="K197" s="19">
        <v>56</v>
      </c>
    </row>
    <row r="198" spans="9:11" x14ac:dyDescent="0.25">
      <c r="I198" s="16" t="s">
        <v>670</v>
      </c>
      <c r="J198" s="19">
        <v>11431</v>
      </c>
      <c r="K198" s="19">
        <v>78</v>
      </c>
    </row>
    <row r="199" spans="9:11" x14ac:dyDescent="0.25">
      <c r="I199" s="16" t="s">
        <v>671</v>
      </c>
      <c r="J199" s="19">
        <v>13180</v>
      </c>
      <c r="K199" s="19">
        <v>87</v>
      </c>
    </row>
    <row r="200" spans="9:11" x14ac:dyDescent="0.25">
      <c r="I200" s="16" t="s">
        <v>672</v>
      </c>
      <c r="J200" s="19">
        <v>18388</v>
      </c>
      <c r="K200" s="19">
        <v>135</v>
      </c>
    </row>
    <row r="201" spans="9:11" x14ac:dyDescent="0.25">
      <c r="I201" s="16" t="s">
        <v>673</v>
      </c>
      <c r="J201" s="19">
        <v>853</v>
      </c>
      <c r="K201" s="19">
        <v>8</v>
      </c>
    </row>
    <row r="202" spans="9:11" x14ac:dyDescent="0.25">
      <c r="I202" s="16" t="s">
        <v>674</v>
      </c>
      <c r="J202" s="19">
        <v>1967</v>
      </c>
      <c r="K202" s="19">
        <v>17.5</v>
      </c>
    </row>
    <row r="203" spans="9:11" x14ac:dyDescent="0.25">
      <c r="I203" s="16" t="s">
        <v>675</v>
      </c>
      <c r="J203" s="19">
        <v>3143</v>
      </c>
      <c r="K203" s="19">
        <v>23</v>
      </c>
    </row>
    <row r="204" spans="9:11" x14ac:dyDescent="0.25">
      <c r="I204" s="16" t="s">
        <v>676</v>
      </c>
      <c r="J204" s="19">
        <v>4039</v>
      </c>
      <c r="K204" s="19">
        <v>32</v>
      </c>
    </row>
    <row r="205" spans="9:11" x14ac:dyDescent="0.25">
      <c r="I205" s="16" t="s">
        <v>677</v>
      </c>
      <c r="J205" s="19">
        <v>1265</v>
      </c>
      <c r="K205" s="19">
        <v>11</v>
      </c>
    </row>
    <row r="206" spans="9:11" x14ac:dyDescent="0.25">
      <c r="I206" s="16" t="s">
        <v>678</v>
      </c>
      <c r="J206" s="19">
        <v>3244</v>
      </c>
      <c r="K206" s="19">
        <v>23</v>
      </c>
    </row>
    <row r="207" spans="9:11" x14ac:dyDescent="0.25">
      <c r="I207" s="16" t="s">
        <v>679</v>
      </c>
      <c r="J207" s="19">
        <v>5003</v>
      </c>
      <c r="K207" s="19">
        <v>38</v>
      </c>
    </row>
    <row r="208" spans="9:11" x14ac:dyDescent="0.25">
      <c r="I208" s="16" t="s">
        <v>680</v>
      </c>
      <c r="J208" s="19">
        <v>6558</v>
      </c>
      <c r="K208" s="19">
        <v>64</v>
      </c>
    </row>
    <row r="209" spans="9:11" x14ac:dyDescent="0.25">
      <c r="I209" s="16" t="s">
        <v>681</v>
      </c>
      <c r="J209" s="19">
        <v>2349</v>
      </c>
      <c r="K209" s="19">
        <v>18</v>
      </c>
    </row>
    <row r="210" spans="9:11" x14ac:dyDescent="0.25">
      <c r="I210" s="16" t="s">
        <v>682</v>
      </c>
      <c r="J210" s="19">
        <v>3865</v>
      </c>
      <c r="K210" s="19">
        <v>32</v>
      </c>
    </row>
    <row r="211" spans="9:11" x14ac:dyDescent="0.25">
      <c r="I211" s="16" t="s">
        <v>683</v>
      </c>
      <c r="J211" s="19">
        <v>4921</v>
      </c>
      <c r="K211" s="19">
        <v>36</v>
      </c>
    </row>
    <row r="212" spans="9:11" x14ac:dyDescent="0.25">
      <c r="I212" s="16" t="s">
        <v>684</v>
      </c>
      <c r="J212" s="19">
        <v>6834</v>
      </c>
      <c r="K212" s="19">
        <v>46</v>
      </c>
    </row>
    <row r="213" spans="9:11" x14ac:dyDescent="0.25">
      <c r="I213" s="16" t="s">
        <v>685</v>
      </c>
      <c r="J213" s="19">
        <v>9071</v>
      </c>
      <c r="K213" s="19">
        <v>68</v>
      </c>
    </row>
    <row r="214" spans="9:11" x14ac:dyDescent="0.25">
      <c r="I214" s="16" t="s">
        <v>686</v>
      </c>
      <c r="J214" s="19">
        <v>3179</v>
      </c>
      <c r="K214" s="19">
        <v>22</v>
      </c>
    </row>
    <row r="215" spans="9:11" x14ac:dyDescent="0.25">
      <c r="I215" s="16" t="s">
        <v>687</v>
      </c>
      <c r="J215" s="19">
        <v>6606</v>
      </c>
      <c r="K215" s="19">
        <v>54</v>
      </c>
    </row>
    <row r="216" spans="9:11" x14ac:dyDescent="0.25">
      <c r="I216" s="16" t="s">
        <v>688</v>
      </c>
      <c r="J216" s="19">
        <v>10042</v>
      </c>
      <c r="K216" s="19">
        <v>70</v>
      </c>
    </row>
    <row r="217" spans="9:11" x14ac:dyDescent="0.25">
      <c r="I217" s="16" t="s">
        <v>689</v>
      </c>
      <c r="J217" s="19">
        <v>12660</v>
      </c>
      <c r="K217" s="19">
        <v>95</v>
      </c>
    </row>
    <row r="218" spans="9:11" x14ac:dyDescent="0.25">
      <c r="I218" s="16" t="s">
        <v>690</v>
      </c>
      <c r="J218" s="19">
        <v>4321</v>
      </c>
      <c r="K218" s="19">
        <v>30</v>
      </c>
    </row>
    <row r="219" spans="9:11" x14ac:dyDescent="0.25">
      <c r="I219" s="16" t="s">
        <v>691</v>
      </c>
      <c r="J219" s="19">
        <v>6242</v>
      </c>
      <c r="K219" s="19">
        <v>44</v>
      </c>
    </row>
    <row r="220" spans="9:11" x14ac:dyDescent="0.25">
      <c r="I220" s="16" t="s">
        <v>692</v>
      </c>
      <c r="J220" s="19">
        <v>8186</v>
      </c>
      <c r="K220" s="19">
        <v>64</v>
      </c>
    </row>
    <row r="221" spans="9:11" x14ac:dyDescent="0.25">
      <c r="I221" s="16" t="s">
        <v>693</v>
      </c>
      <c r="J221" s="19">
        <v>8204</v>
      </c>
      <c r="K221" s="19">
        <v>56</v>
      </c>
    </row>
    <row r="222" spans="9:11" x14ac:dyDescent="0.25">
      <c r="I222" s="16" t="s">
        <v>694</v>
      </c>
      <c r="J222" s="19">
        <v>10971</v>
      </c>
      <c r="K222" s="19">
        <v>78</v>
      </c>
    </row>
    <row r="223" spans="9:11" x14ac:dyDescent="0.25">
      <c r="I223" s="16" t="s">
        <v>695</v>
      </c>
      <c r="J223" s="19">
        <v>12649</v>
      </c>
      <c r="K223" s="19">
        <v>87</v>
      </c>
    </row>
    <row r="224" spans="9:11" x14ac:dyDescent="0.25">
      <c r="I224" s="16" t="s">
        <v>696</v>
      </c>
      <c r="J224" s="19">
        <v>17647</v>
      </c>
      <c r="K224" s="19">
        <v>135</v>
      </c>
    </row>
  </sheetData>
  <sheetProtection algorithmName="SHA-512" hashValue="La4eN5kRIlz1CB8OVmLnjdBjLsJFrbdOHTHH9b4EV0vYgn+jbqwQh8iBbAn72zOIJTr4R3q4Xfdjhtaobb4fOQ==" saltValue="nBGDyiCqvZ+xPV24IDOsSw==" spinCount="100000" sheet="1" objects="1" scenarios="1" selectLockedCells="1"/>
  <mergeCells count="4">
    <mergeCell ref="A52:D55"/>
    <mergeCell ref="BI5:BK5"/>
    <mergeCell ref="BI6:BK6"/>
    <mergeCell ref="BI7:BK7"/>
  </mergeCells>
  <conditionalFormatting sqref="C44">
    <cfRule type="cellIs" dxfId="92" priority="2" operator="greaterThan">
      <formula>$F$44</formula>
    </cfRule>
  </conditionalFormatting>
  <conditionalFormatting sqref="C45">
    <cfRule type="cellIs" dxfId="91" priority="1" operator="greaterThan">
      <formula>$F$45</formula>
    </cfRule>
  </conditionalFormatting>
  <dataValidations count="4">
    <dataValidation type="list" allowBlank="1" showInputMessage="1" showErrorMessage="1" sqref="C21" xr:uid="{62364A06-E23E-4616-8358-713665143477}">
      <formula1>$I$81:$I$224</formula1>
    </dataValidation>
    <dataValidation type="list" allowBlank="1" showInputMessage="1" showErrorMessage="1" sqref="C17" xr:uid="{BDBEE595-5BB6-4D0B-8B0F-B2EBC2DB0686}">
      <formula1>$N$81:$N$85</formula1>
    </dataValidation>
    <dataValidation type="list" allowBlank="1" showInputMessage="1" showErrorMessage="1" sqref="C18" xr:uid="{A4D81602-BAC3-4FFE-AE9B-2177484B749F}">
      <formula1>$O$81:$O$83</formula1>
    </dataValidation>
    <dataValidation type="list" allowBlank="1" showInputMessage="1" showErrorMessage="1" sqref="C43" xr:uid="{F6870CBF-DE7A-4A81-9F82-D4806460FB03}">
      <formula1>$V$81:$V$82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71F42-BEA8-4901-B2A7-E5456C69E2D7}">
  <sheetPr>
    <pageSetUpPr fitToPage="1"/>
  </sheetPr>
  <dimension ref="A5:DJ149"/>
  <sheetViews>
    <sheetView showGridLines="0" zoomScaleNormal="100" workbookViewId="0">
      <selection activeCell="DH5" sqref="DH5:DJ5"/>
    </sheetView>
  </sheetViews>
  <sheetFormatPr defaultRowHeight="15" x14ac:dyDescent="0.25"/>
  <cols>
    <col min="1" max="1" width="10.42578125" bestFit="1" customWidth="1"/>
    <col min="2" max="2" width="23.5703125" customWidth="1"/>
    <col min="3" max="3" width="26.5703125" customWidth="1"/>
    <col min="4" max="4" width="5.85546875" bestFit="1" customWidth="1"/>
    <col min="5" max="8" width="9.140625" hidden="1" customWidth="1"/>
    <col min="9" max="9" width="26.8554687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109" width="9.140625" hidden="1" customWidth="1"/>
  </cols>
  <sheetData>
    <row r="5" spans="1:114" x14ac:dyDescent="0.25">
      <c r="DG5" s="5" t="s">
        <v>1343</v>
      </c>
      <c r="DH5" s="37"/>
      <c r="DI5" s="37"/>
      <c r="DJ5" s="37"/>
    </row>
    <row r="6" spans="1:114" x14ac:dyDescent="0.25">
      <c r="A6" s="10" t="s">
        <v>118</v>
      </c>
      <c r="DG6" s="5" t="s">
        <v>1344</v>
      </c>
      <c r="DH6" s="37"/>
      <c r="DI6" s="37"/>
      <c r="DJ6" s="37"/>
    </row>
    <row r="7" spans="1:114" x14ac:dyDescent="0.25">
      <c r="A7" s="10" t="s">
        <v>1171</v>
      </c>
      <c r="DG7" s="5" t="s">
        <v>1345</v>
      </c>
      <c r="DH7" s="37"/>
      <c r="DI7" s="37"/>
      <c r="DJ7" s="37"/>
    </row>
    <row r="9" spans="1:114" x14ac:dyDescent="0.25">
      <c r="I9" s="6" t="s">
        <v>1163</v>
      </c>
      <c r="Z9" s="2" t="s">
        <v>1164</v>
      </c>
      <c r="AQ9" s="6" t="s">
        <v>1165</v>
      </c>
      <c r="BH9" s="2" t="s">
        <v>1166</v>
      </c>
      <c r="BY9" s="6" t="s">
        <v>1167</v>
      </c>
      <c r="CP9" s="2" t="s">
        <v>1168</v>
      </c>
    </row>
    <row r="10" spans="1:114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  <c r="BH10" t="s">
        <v>11</v>
      </c>
      <c r="BI10">
        <v>80</v>
      </c>
      <c r="BJ10">
        <v>80</v>
      </c>
      <c r="BK10">
        <v>80</v>
      </c>
      <c r="BL10">
        <v>70</v>
      </c>
      <c r="BM10">
        <v>70</v>
      </c>
      <c r="BN10">
        <v>70</v>
      </c>
      <c r="BO10">
        <v>50</v>
      </c>
      <c r="BP10">
        <v>50</v>
      </c>
      <c r="BQ10">
        <v>50</v>
      </c>
      <c r="BR10">
        <v>30</v>
      </c>
      <c r="BS10">
        <v>30</v>
      </c>
      <c r="BT10">
        <v>30</v>
      </c>
      <c r="BU10">
        <v>10</v>
      </c>
      <c r="BV10">
        <v>10</v>
      </c>
      <c r="BW10">
        <v>10</v>
      </c>
      <c r="BY10" t="s">
        <v>11</v>
      </c>
      <c r="BZ10">
        <v>80</v>
      </c>
      <c r="CA10">
        <v>80</v>
      </c>
      <c r="CB10">
        <v>80</v>
      </c>
      <c r="CC10">
        <v>70</v>
      </c>
      <c r="CD10">
        <v>70</v>
      </c>
      <c r="CE10">
        <v>70</v>
      </c>
      <c r="CF10">
        <v>50</v>
      </c>
      <c r="CG10">
        <v>50</v>
      </c>
      <c r="CH10">
        <v>50</v>
      </c>
      <c r="CI10">
        <v>30</v>
      </c>
      <c r="CJ10">
        <v>30</v>
      </c>
      <c r="CK10">
        <v>30</v>
      </c>
      <c r="CL10">
        <v>10</v>
      </c>
      <c r="CM10">
        <v>10</v>
      </c>
      <c r="CN10">
        <v>10</v>
      </c>
      <c r="CP10" t="s">
        <v>11</v>
      </c>
      <c r="CQ10">
        <v>80</v>
      </c>
      <c r="CR10">
        <v>80</v>
      </c>
      <c r="CS10">
        <v>80</v>
      </c>
      <c r="CT10">
        <v>70</v>
      </c>
      <c r="CU10">
        <v>70</v>
      </c>
      <c r="CV10">
        <v>70</v>
      </c>
      <c r="CW10">
        <v>50</v>
      </c>
      <c r="CX10">
        <v>50</v>
      </c>
      <c r="CY10">
        <v>50</v>
      </c>
      <c r="CZ10">
        <v>30</v>
      </c>
      <c r="DA10">
        <v>30</v>
      </c>
      <c r="DB10">
        <v>30</v>
      </c>
      <c r="DC10">
        <v>10</v>
      </c>
      <c r="DD10">
        <v>10</v>
      </c>
      <c r="DE10">
        <v>10</v>
      </c>
    </row>
    <row r="11" spans="1:114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  <c r="BH11" t="s">
        <v>12</v>
      </c>
      <c r="BI11">
        <v>50</v>
      </c>
      <c r="BJ11">
        <v>30</v>
      </c>
      <c r="BK11">
        <v>10</v>
      </c>
      <c r="BL11">
        <v>50</v>
      </c>
      <c r="BM11">
        <v>30</v>
      </c>
      <c r="BN11">
        <v>10</v>
      </c>
      <c r="BO11">
        <v>50</v>
      </c>
      <c r="BP11">
        <v>30</v>
      </c>
      <c r="BQ11">
        <v>10</v>
      </c>
      <c r="BR11">
        <v>50</v>
      </c>
      <c r="BS11">
        <v>30</v>
      </c>
      <c r="BT11">
        <v>10</v>
      </c>
      <c r="BU11">
        <v>50</v>
      </c>
      <c r="BV11">
        <v>30</v>
      </c>
      <c r="BW11">
        <v>10</v>
      </c>
      <c r="BY11" t="s">
        <v>12</v>
      </c>
      <c r="BZ11">
        <v>50</v>
      </c>
      <c r="CA11">
        <v>30</v>
      </c>
      <c r="CB11">
        <v>10</v>
      </c>
      <c r="CC11">
        <v>50</v>
      </c>
      <c r="CD11">
        <v>30</v>
      </c>
      <c r="CE11">
        <v>10</v>
      </c>
      <c r="CF11">
        <v>50</v>
      </c>
      <c r="CG11">
        <v>30</v>
      </c>
      <c r="CH11">
        <v>10</v>
      </c>
      <c r="CI11">
        <v>50</v>
      </c>
      <c r="CJ11">
        <v>30</v>
      </c>
      <c r="CK11">
        <v>10</v>
      </c>
      <c r="CL11">
        <v>50</v>
      </c>
      <c r="CM11">
        <v>30</v>
      </c>
      <c r="CN11">
        <v>10</v>
      </c>
      <c r="CP11" t="s">
        <v>12</v>
      </c>
      <c r="CQ11">
        <v>50</v>
      </c>
      <c r="CR11">
        <v>30</v>
      </c>
      <c r="CS11">
        <v>10</v>
      </c>
      <c r="CT11">
        <v>50</v>
      </c>
      <c r="CU11">
        <v>30</v>
      </c>
      <c r="CV11">
        <v>10</v>
      </c>
      <c r="CW11">
        <v>50</v>
      </c>
      <c r="CX11">
        <v>30</v>
      </c>
      <c r="CY11">
        <v>10</v>
      </c>
      <c r="CZ11">
        <v>50</v>
      </c>
      <c r="DA11">
        <v>30</v>
      </c>
      <c r="DB11">
        <v>10</v>
      </c>
      <c r="DC11">
        <v>50</v>
      </c>
      <c r="DD11">
        <v>30</v>
      </c>
      <c r="DE11">
        <v>10</v>
      </c>
    </row>
    <row r="12" spans="1:114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  <c r="BH12" t="s">
        <v>14</v>
      </c>
      <c r="BI12" t="s">
        <v>13</v>
      </c>
      <c r="BJ12" t="s">
        <v>16</v>
      </c>
      <c r="BK12" t="s">
        <v>17</v>
      </c>
      <c r="BL12" t="s">
        <v>18</v>
      </c>
      <c r="BM12" t="s">
        <v>19</v>
      </c>
      <c r="BN12" t="s">
        <v>20</v>
      </c>
      <c r="BO12" t="s">
        <v>21</v>
      </c>
      <c r="BP12" t="s">
        <v>22</v>
      </c>
      <c r="BQ12" t="s">
        <v>23</v>
      </c>
      <c r="BR12" t="s">
        <v>24</v>
      </c>
      <c r="BS12" t="s">
        <v>26</v>
      </c>
      <c r="BT12" t="s">
        <v>25</v>
      </c>
      <c r="BU12" t="s">
        <v>27</v>
      </c>
      <c r="BV12" t="s">
        <v>28</v>
      </c>
      <c r="BW12" t="s">
        <v>29</v>
      </c>
      <c r="BY12" t="s">
        <v>14</v>
      </c>
      <c r="BZ12" t="s">
        <v>13</v>
      </c>
      <c r="CA12" t="s">
        <v>16</v>
      </c>
      <c r="CB12" t="s">
        <v>17</v>
      </c>
      <c r="CC12" t="s">
        <v>18</v>
      </c>
      <c r="CD12" t="s">
        <v>19</v>
      </c>
      <c r="CE12" t="s">
        <v>20</v>
      </c>
      <c r="CF12" t="s">
        <v>21</v>
      </c>
      <c r="CG12" t="s">
        <v>22</v>
      </c>
      <c r="CH12" t="s">
        <v>23</v>
      </c>
      <c r="CI12" t="s">
        <v>24</v>
      </c>
      <c r="CJ12" t="s">
        <v>26</v>
      </c>
      <c r="CK12" t="s">
        <v>25</v>
      </c>
      <c r="CL12" t="s">
        <v>27</v>
      </c>
      <c r="CM12" t="s">
        <v>28</v>
      </c>
      <c r="CN12" t="s">
        <v>29</v>
      </c>
      <c r="CP12" t="s">
        <v>14</v>
      </c>
      <c r="CQ12" t="s">
        <v>13</v>
      </c>
      <c r="CR12" t="s">
        <v>16</v>
      </c>
      <c r="CS12" t="s">
        <v>17</v>
      </c>
      <c r="CT12" t="s">
        <v>18</v>
      </c>
      <c r="CU12" t="s">
        <v>19</v>
      </c>
      <c r="CV12" t="s">
        <v>20</v>
      </c>
      <c r="CW12" t="s">
        <v>21</v>
      </c>
      <c r="CX12" t="s">
        <v>22</v>
      </c>
      <c r="CY12" t="s">
        <v>23</v>
      </c>
      <c r="CZ12" t="s">
        <v>24</v>
      </c>
      <c r="DA12" t="s">
        <v>26</v>
      </c>
      <c r="DB12" t="s">
        <v>25</v>
      </c>
      <c r="DC12" t="s">
        <v>27</v>
      </c>
      <c r="DD12" t="s">
        <v>28</v>
      </c>
      <c r="DE12" t="s">
        <v>29</v>
      </c>
    </row>
    <row r="13" spans="1:114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111</v>
      </c>
      <c r="AY13">
        <v>111</v>
      </c>
      <c r="AZ13">
        <v>111</v>
      </c>
      <c r="BA13">
        <v>106</v>
      </c>
      <c r="BB13">
        <v>106</v>
      </c>
      <c r="BC13">
        <v>106</v>
      </c>
      <c r="BD13">
        <v>102</v>
      </c>
      <c r="BE13">
        <v>102</v>
      </c>
      <c r="BF13">
        <v>102</v>
      </c>
      <c r="BH13">
        <v>0</v>
      </c>
      <c r="BI13">
        <v>119</v>
      </c>
      <c r="BJ13">
        <v>119</v>
      </c>
      <c r="BK13">
        <v>119</v>
      </c>
      <c r="BL13">
        <v>116</v>
      </c>
      <c r="BM13">
        <v>116</v>
      </c>
      <c r="BN13">
        <v>116</v>
      </c>
      <c r="BO13">
        <v>111</v>
      </c>
      <c r="BP13">
        <v>111</v>
      </c>
      <c r="BQ13">
        <v>111</v>
      </c>
      <c r="BR13">
        <v>106</v>
      </c>
      <c r="BS13">
        <v>106</v>
      </c>
      <c r="BT13">
        <v>106</v>
      </c>
      <c r="BU13">
        <v>102</v>
      </c>
      <c r="BV13">
        <v>102</v>
      </c>
      <c r="BW13">
        <v>102</v>
      </c>
      <c r="BY13">
        <v>0</v>
      </c>
      <c r="BZ13">
        <v>119</v>
      </c>
      <c r="CA13">
        <v>119</v>
      </c>
      <c r="CB13">
        <v>119</v>
      </c>
      <c r="CC13">
        <v>116</v>
      </c>
      <c r="CD13">
        <v>116</v>
      </c>
      <c r="CE13">
        <v>116</v>
      </c>
      <c r="CF13">
        <v>111</v>
      </c>
      <c r="CG13">
        <v>111</v>
      </c>
      <c r="CH13">
        <v>111</v>
      </c>
      <c r="CI13">
        <v>106</v>
      </c>
      <c r="CJ13">
        <v>106</v>
      </c>
      <c r="CK13">
        <v>106</v>
      </c>
      <c r="CL13">
        <v>102</v>
      </c>
      <c r="CM13">
        <v>102</v>
      </c>
      <c r="CN13">
        <v>102</v>
      </c>
      <c r="CP13">
        <v>0</v>
      </c>
      <c r="CQ13">
        <v>119</v>
      </c>
      <c r="CR13">
        <v>119</v>
      </c>
      <c r="CS13">
        <v>119</v>
      </c>
      <c r="CT13">
        <v>116</v>
      </c>
      <c r="CU13">
        <v>116</v>
      </c>
      <c r="CV13">
        <v>116</v>
      </c>
      <c r="CW13">
        <v>111</v>
      </c>
      <c r="CX13">
        <v>111</v>
      </c>
      <c r="CY13">
        <v>111</v>
      </c>
      <c r="CZ13">
        <v>106</v>
      </c>
      <c r="DA13">
        <v>106</v>
      </c>
      <c r="DB13">
        <v>106</v>
      </c>
      <c r="DC13">
        <v>102</v>
      </c>
      <c r="DD13">
        <v>102</v>
      </c>
      <c r="DE13">
        <v>102</v>
      </c>
    </row>
    <row r="14" spans="1:114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97</v>
      </c>
      <c r="M14">
        <v>102</v>
      </c>
      <c r="N14">
        <v>98</v>
      </c>
      <c r="O14">
        <v>95</v>
      </c>
      <c r="P14">
        <v>98</v>
      </c>
      <c r="Q14">
        <v>95</v>
      </c>
      <c r="R14">
        <v>92</v>
      </c>
      <c r="S14">
        <v>94</v>
      </c>
      <c r="T14">
        <v>92</v>
      </c>
      <c r="U14">
        <v>89</v>
      </c>
      <c r="V14">
        <v>90</v>
      </c>
      <c r="W14">
        <v>88</v>
      </c>
      <c r="X14">
        <v>87</v>
      </c>
      <c r="Z14">
        <v>1</v>
      </c>
      <c r="AA14">
        <v>105</v>
      </c>
      <c r="AB14">
        <v>101</v>
      </c>
      <c r="AC14">
        <v>97</v>
      </c>
      <c r="AD14">
        <v>102</v>
      </c>
      <c r="AE14">
        <v>99</v>
      </c>
      <c r="AF14">
        <v>95</v>
      </c>
      <c r="AG14">
        <v>98</v>
      </c>
      <c r="AH14">
        <v>95</v>
      </c>
      <c r="AI14">
        <v>92</v>
      </c>
      <c r="AJ14">
        <v>94</v>
      </c>
      <c r="AK14">
        <v>92</v>
      </c>
      <c r="AL14">
        <v>89</v>
      </c>
      <c r="AM14">
        <v>91</v>
      </c>
      <c r="AN14">
        <v>89</v>
      </c>
      <c r="AO14">
        <v>87</v>
      </c>
      <c r="AQ14">
        <v>1</v>
      </c>
      <c r="AR14">
        <v>104</v>
      </c>
      <c r="AS14">
        <v>99</v>
      </c>
      <c r="AT14">
        <v>96</v>
      </c>
      <c r="AU14">
        <v>101</v>
      </c>
      <c r="AV14">
        <v>98</v>
      </c>
      <c r="AW14">
        <v>94</v>
      </c>
      <c r="AX14">
        <v>97</v>
      </c>
      <c r="AY14">
        <v>94</v>
      </c>
      <c r="AZ14">
        <v>91</v>
      </c>
      <c r="BA14">
        <v>93</v>
      </c>
      <c r="BB14">
        <v>91</v>
      </c>
      <c r="BC14">
        <v>88</v>
      </c>
      <c r="BD14">
        <v>90</v>
      </c>
      <c r="BE14">
        <v>88</v>
      </c>
      <c r="BF14">
        <v>86</v>
      </c>
      <c r="BH14">
        <v>1</v>
      </c>
      <c r="BI14">
        <v>104</v>
      </c>
      <c r="BJ14">
        <v>100</v>
      </c>
      <c r="BK14">
        <v>96</v>
      </c>
      <c r="BL14">
        <v>102</v>
      </c>
      <c r="BM14">
        <v>98</v>
      </c>
      <c r="BN14">
        <v>94</v>
      </c>
      <c r="BO14">
        <v>97</v>
      </c>
      <c r="BP14">
        <v>94</v>
      </c>
      <c r="BQ14">
        <v>91</v>
      </c>
      <c r="BR14">
        <v>93</v>
      </c>
      <c r="BS14">
        <v>91</v>
      </c>
      <c r="BT14">
        <v>88</v>
      </c>
      <c r="BU14">
        <v>90</v>
      </c>
      <c r="BV14">
        <v>88</v>
      </c>
      <c r="BW14">
        <v>86</v>
      </c>
      <c r="BY14">
        <v>1</v>
      </c>
      <c r="BZ14">
        <v>104</v>
      </c>
      <c r="CA14">
        <v>100</v>
      </c>
      <c r="CB14">
        <v>96</v>
      </c>
      <c r="CC14">
        <v>102</v>
      </c>
      <c r="CD14">
        <v>98</v>
      </c>
      <c r="CE14">
        <v>94</v>
      </c>
      <c r="CF14">
        <v>97</v>
      </c>
      <c r="CG14">
        <v>94</v>
      </c>
      <c r="CH14">
        <v>91</v>
      </c>
      <c r="CI14">
        <v>94</v>
      </c>
      <c r="CJ14">
        <v>91</v>
      </c>
      <c r="CK14">
        <v>89</v>
      </c>
      <c r="CL14">
        <v>90</v>
      </c>
      <c r="CM14">
        <v>88</v>
      </c>
      <c r="CN14">
        <v>86</v>
      </c>
      <c r="CP14">
        <v>1</v>
      </c>
      <c r="CQ14">
        <v>104</v>
      </c>
      <c r="CR14">
        <v>100</v>
      </c>
      <c r="CS14">
        <v>96</v>
      </c>
      <c r="CT14">
        <v>102</v>
      </c>
      <c r="CU14">
        <v>98</v>
      </c>
      <c r="CV14">
        <v>95</v>
      </c>
      <c r="CW14">
        <v>98</v>
      </c>
      <c r="CX14">
        <v>95</v>
      </c>
      <c r="CY14">
        <v>92</v>
      </c>
      <c r="CZ14">
        <v>94</v>
      </c>
      <c r="DA14">
        <v>91</v>
      </c>
      <c r="DB14">
        <v>89</v>
      </c>
      <c r="DC14">
        <v>90</v>
      </c>
      <c r="DD14">
        <v>88</v>
      </c>
      <c r="DE14">
        <v>86</v>
      </c>
    </row>
    <row r="15" spans="1:114" x14ac:dyDescent="0.25">
      <c r="B15" t="s">
        <v>0</v>
      </c>
      <c r="C15" s="22">
        <v>2.5</v>
      </c>
      <c r="D15" t="s">
        <v>8</v>
      </c>
      <c r="I15">
        <v>2</v>
      </c>
      <c r="J15">
        <v>91</v>
      </c>
      <c r="K15">
        <v>85</v>
      </c>
      <c r="L15">
        <v>79</v>
      </c>
      <c r="M15">
        <v>89</v>
      </c>
      <c r="N15">
        <v>83</v>
      </c>
      <c r="O15">
        <v>78</v>
      </c>
      <c r="P15">
        <v>86</v>
      </c>
      <c r="Q15">
        <v>81</v>
      </c>
      <c r="R15">
        <v>76</v>
      </c>
      <c r="S15">
        <v>83</v>
      </c>
      <c r="T15">
        <v>78</v>
      </c>
      <c r="U15">
        <v>74</v>
      </c>
      <c r="V15">
        <v>79</v>
      </c>
      <c r="W15">
        <v>76</v>
      </c>
      <c r="X15">
        <v>73</v>
      </c>
      <c r="Z15">
        <v>2</v>
      </c>
      <c r="AA15">
        <v>92</v>
      </c>
      <c r="AB15">
        <v>85</v>
      </c>
      <c r="AC15">
        <v>79</v>
      </c>
      <c r="AD15">
        <v>90</v>
      </c>
      <c r="AE15">
        <v>84</v>
      </c>
      <c r="AF15">
        <v>78</v>
      </c>
      <c r="AG15">
        <v>86</v>
      </c>
      <c r="AH15">
        <v>81</v>
      </c>
      <c r="AI15">
        <v>77</v>
      </c>
      <c r="AJ15">
        <v>83</v>
      </c>
      <c r="AK15">
        <v>79</v>
      </c>
      <c r="AL15">
        <v>75</v>
      </c>
      <c r="AM15">
        <v>80</v>
      </c>
      <c r="AN15">
        <v>76</v>
      </c>
      <c r="AO15">
        <v>73</v>
      </c>
      <c r="AQ15">
        <v>2</v>
      </c>
      <c r="AR15">
        <v>90</v>
      </c>
      <c r="AS15">
        <v>83</v>
      </c>
      <c r="AT15">
        <v>77</v>
      </c>
      <c r="AU15">
        <v>88</v>
      </c>
      <c r="AV15">
        <v>82</v>
      </c>
      <c r="AW15">
        <v>77</v>
      </c>
      <c r="AX15">
        <v>85</v>
      </c>
      <c r="AY15">
        <v>79</v>
      </c>
      <c r="AZ15">
        <v>75</v>
      </c>
      <c r="BA15">
        <v>81</v>
      </c>
      <c r="BB15">
        <v>77</v>
      </c>
      <c r="BC15">
        <v>73</v>
      </c>
      <c r="BD15">
        <v>78</v>
      </c>
      <c r="BE15">
        <v>75</v>
      </c>
      <c r="BF15">
        <v>71</v>
      </c>
      <c r="BH15">
        <v>2</v>
      </c>
      <c r="BI15">
        <v>90</v>
      </c>
      <c r="BJ15">
        <v>84</v>
      </c>
      <c r="BK15">
        <v>78</v>
      </c>
      <c r="BL15">
        <v>89</v>
      </c>
      <c r="BM15">
        <v>82</v>
      </c>
      <c r="BN15">
        <v>77</v>
      </c>
      <c r="BO15">
        <v>85</v>
      </c>
      <c r="BP15">
        <v>80</v>
      </c>
      <c r="BQ15">
        <v>75</v>
      </c>
      <c r="BR15">
        <v>82</v>
      </c>
      <c r="BS15">
        <v>77</v>
      </c>
      <c r="BT15">
        <v>73</v>
      </c>
      <c r="BU15">
        <v>79</v>
      </c>
      <c r="BV15">
        <v>75</v>
      </c>
      <c r="BW15">
        <v>72</v>
      </c>
      <c r="BY15">
        <v>2</v>
      </c>
      <c r="BZ15">
        <v>91</v>
      </c>
      <c r="CA15">
        <v>84</v>
      </c>
      <c r="CB15">
        <v>78</v>
      </c>
      <c r="CC15">
        <v>89</v>
      </c>
      <c r="CD15">
        <v>82</v>
      </c>
      <c r="CE15">
        <v>77</v>
      </c>
      <c r="CF15">
        <v>85</v>
      </c>
      <c r="CG15">
        <v>80</v>
      </c>
      <c r="CH15">
        <v>75</v>
      </c>
      <c r="CI15">
        <v>82</v>
      </c>
      <c r="CJ15">
        <v>77</v>
      </c>
      <c r="CK15">
        <v>74</v>
      </c>
      <c r="CL15">
        <v>79</v>
      </c>
      <c r="CM15">
        <v>75</v>
      </c>
      <c r="CN15">
        <v>72</v>
      </c>
      <c r="CP15">
        <v>2</v>
      </c>
      <c r="CQ15">
        <v>91</v>
      </c>
      <c r="CR15">
        <v>84</v>
      </c>
      <c r="CS15">
        <v>79</v>
      </c>
      <c r="CT15">
        <v>89</v>
      </c>
      <c r="CU15">
        <v>83</v>
      </c>
      <c r="CV15">
        <v>78</v>
      </c>
      <c r="CW15">
        <v>86</v>
      </c>
      <c r="CX15">
        <v>80</v>
      </c>
      <c r="CY15">
        <v>76</v>
      </c>
      <c r="CZ15">
        <v>82</v>
      </c>
      <c r="DA15">
        <v>78</v>
      </c>
      <c r="DB15">
        <v>74</v>
      </c>
      <c r="DC15">
        <v>79</v>
      </c>
      <c r="DD15">
        <v>76</v>
      </c>
      <c r="DE15">
        <v>73</v>
      </c>
    </row>
    <row r="16" spans="1:114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66</v>
      </c>
      <c r="M16">
        <v>79</v>
      </c>
      <c r="N16">
        <v>71</v>
      </c>
      <c r="O16">
        <v>65</v>
      </c>
      <c r="P16">
        <v>76</v>
      </c>
      <c r="Q16">
        <v>69</v>
      </c>
      <c r="R16">
        <v>64</v>
      </c>
      <c r="S16">
        <v>73</v>
      </c>
      <c r="T16">
        <v>67</v>
      </c>
      <c r="U16">
        <v>63</v>
      </c>
      <c r="V16">
        <v>70</v>
      </c>
      <c r="W16">
        <v>66</v>
      </c>
      <c r="X16">
        <v>62</v>
      </c>
      <c r="Z16">
        <v>3</v>
      </c>
      <c r="AA16">
        <v>81</v>
      </c>
      <c r="AB16">
        <v>73</v>
      </c>
      <c r="AC16">
        <v>66</v>
      </c>
      <c r="AD16">
        <v>79</v>
      </c>
      <c r="AE16">
        <v>72</v>
      </c>
      <c r="AF16">
        <v>66</v>
      </c>
      <c r="AG16">
        <v>76</v>
      </c>
      <c r="AH16">
        <v>70</v>
      </c>
      <c r="AI16">
        <v>64</v>
      </c>
      <c r="AJ16">
        <v>73</v>
      </c>
      <c r="AK16">
        <v>68</v>
      </c>
      <c r="AL16">
        <v>63</v>
      </c>
      <c r="AM16">
        <v>71</v>
      </c>
      <c r="AN16">
        <v>66</v>
      </c>
      <c r="AO16">
        <v>62</v>
      </c>
      <c r="AQ16">
        <v>3</v>
      </c>
      <c r="AR16">
        <v>79</v>
      </c>
      <c r="AS16">
        <v>71</v>
      </c>
      <c r="AT16">
        <v>64</v>
      </c>
      <c r="AU16">
        <v>77</v>
      </c>
      <c r="AV16">
        <v>70</v>
      </c>
      <c r="AW16">
        <v>64</v>
      </c>
      <c r="AX16">
        <v>74</v>
      </c>
      <c r="AY16">
        <v>68</v>
      </c>
      <c r="AZ16">
        <v>62</v>
      </c>
      <c r="BA16">
        <v>72</v>
      </c>
      <c r="BB16">
        <v>66</v>
      </c>
      <c r="BC16">
        <v>61</v>
      </c>
      <c r="BD16">
        <v>69</v>
      </c>
      <c r="BE16">
        <v>64</v>
      </c>
      <c r="BF16">
        <v>60</v>
      </c>
      <c r="BH16">
        <v>3</v>
      </c>
      <c r="BI16">
        <v>79</v>
      </c>
      <c r="BJ16">
        <v>71</v>
      </c>
      <c r="BK16">
        <v>65</v>
      </c>
      <c r="BL16">
        <v>78</v>
      </c>
      <c r="BM16">
        <v>70</v>
      </c>
      <c r="BN16">
        <v>64</v>
      </c>
      <c r="BO16">
        <v>75</v>
      </c>
      <c r="BP16">
        <v>68</v>
      </c>
      <c r="BQ16">
        <v>63</v>
      </c>
      <c r="BR16">
        <v>72</v>
      </c>
      <c r="BS16">
        <v>66</v>
      </c>
      <c r="BT16">
        <v>62</v>
      </c>
      <c r="BU16">
        <v>69</v>
      </c>
      <c r="BV16">
        <v>65</v>
      </c>
      <c r="BW16">
        <v>61</v>
      </c>
      <c r="BY16">
        <v>3</v>
      </c>
      <c r="BZ16">
        <v>80</v>
      </c>
      <c r="CA16">
        <v>71</v>
      </c>
      <c r="CB16">
        <v>65</v>
      </c>
      <c r="CC16">
        <v>78</v>
      </c>
      <c r="CD16">
        <v>70</v>
      </c>
      <c r="CE16">
        <v>64</v>
      </c>
      <c r="CF16">
        <v>75</v>
      </c>
      <c r="CG16">
        <v>69</v>
      </c>
      <c r="CH16">
        <v>63</v>
      </c>
      <c r="CI16">
        <v>72</v>
      </c>
      <c r="CJ16">
        <v>67</v>
      </c>
      <c r="CK16">
        <v>62</v>
      </c>
      <c r="CL16">
        <v>70</v>
      </c>
      <c r="CM16">
        <v>65</v>
      </c>
      <c r="CN16">
        <v>61</v>
      </c>
      <c r="CP16">
        <v>3</v>
      </c>
      <c r="CQ16">
        <v>80</v>
      </c>
      <c r="CR16">
        <v>72</v>
      </c>
      <c r="CS16">
        <v>66</v>
      </c>
      <c r="CT16">
        <v>79</v>
      </c>
      <c r="CU16">
        <v>71</v>
      </c>
      <c r="CV16">
        <v>65</v>
      </c>
      <c r="CW16">
        <v>76</v>
      </c>
      <c r="CX16">
        <v>69</v>
      </c>
      <c r="CY16">
        <v>64</v>
      </c>
      <c r="CZ16">
        <v>73</v>
      </c>
      <c r="DA16">
        <v>67</v>
      </c>
      <c r="DB16">
        <v>63</v>
      </c>
      <c r="DC16">
        <v>70</v>
      </c>
      <c r="DD16">
        <v>66</v>
      </c>
      <c r="DE16">
        <v>62</v>
      </c>
    </row>
    <row r="17" spans="1:114" x14ac:dyDescent="0.25">
      <c r="B17" t="s">
        <v>5</v>
      </c>
      <c r="C17" s="22">
        <v>80</v>
      </c>
      <c r="I17">
        <v>4</v>
      </c>
      <c r="J17">
        <v>71</v>
      </c>
      <c r="K17">
        <v>62</v>
      </c>
      <c r="L17">
        <v>56</v>
      </c>
      <c r="M17">
        <v>70</v>
      </c>
      <c r="N17">
        <v>62</v>
      </c>
      <c r="O17">
        <v>55</v>
      </c>
      <c r="P17">
        <v>67</v>
      </c>
      <c r="Q17">
        <v>60</v>
      </c>
      <c r="R17">
        <v>55</v>
      </c>
      <c r="S17">
        <v>65</v>
      </c>
      <c r="T17">
        <v>59</v>
      </c>
      <c r="U17">
        <v>54</v>
      </c>
      <c r="V17">
        <v>63</v>
      </c>
      <c r="W17">
        <v>58</v>
      </c>
      <c r="X17">
        <v>53</v>
      </c>
      <c r="Z17">
        <v>4</v>
      </c>
      <c r="AA17">
        <v>72</v>
      </c>
      <c r="AB17">
        <v>63</v>
      </c>
      <c r="AC17">
        <v>56</v>
      </c>
      <c r="AD17">
        <v>70</v>
      </c>
      <c r="AE17">
        <v>62</v>
      </c>
      <c r="AF17">
        <v>56</v>
      </c>
      <c r="AG17">
        <v>68</v>
      </c>
      <c r="AH17">
        <v>61</v>
      </c>
      <c r="AI17">
        <v>55</v>
      </c>
      <c r="AJ17">
        <v>65</v>
      </c>
      <c r="AK17">
        <v>59</v>
      </c>
      <c r="AL17">
        <v>54</v>
      </c>
      <c r="AM17">
        <v>63</v>
      </c>
      <c r="AN17">
        <v>58</v>
      </c>
      <c r="AO17">
        <v>54</v>
      </c>
      <c r="AQ17">
        <v>4</v>
      </c>
      <c r="AR17">
        <v>70</v>
      </c>
      <c r="AS17">
        <v>61</v>
      </c>
      <c r="AT17">
        <v>54</v>
      </c>
      <c r="AU17">
        <v>69</v>
      </c>
      <c r="AV17">
        <v>60</v>
      </c>
      <c r="AW17">
        <v>54</v>
      </c>
      <c r="AX17">
        <v>66</v>
      </c>
      <c r="AY17">
        <v>59</v>
      </c>
      <c r="AZ17">
        <v>53</v>
      </c>
      <c r="BA17">
        <v>64</v>
      </c>
      <c r="BB17">
        <v>57</v>
      </c>
      <c r="BC17">
        <v>52</v>
      </c>
      <c r="BD17">
        <v>61</v>
      </c>
      <c r="BE17">
        <v>56</v>
      </c>
      <c r="BF17">
        <v>52</v>
      </c>
      <c r="BH17">
        <v>4</v>
      </c>
      <c r="BI17">
        <v>70</v>
      </c>
      <c r="BJ17">
        <v>61</v>
      </c>
      <c r="BK17">
        <v>55</v>
      </c>
      <c r="BL17">
        <v>69</v>
      </c>
      <c r="BM17">
        <v>61</v>
      </c>
      <c r="BN17">
        <v>54</v>
      </c>
      <c r="BO17">
        <v>66</v>
      </c>
      <c r="BP17">
        <v>59</v>
      </c>
      <c r="BQ17">
        <v>54</v>
      </c>
      <c r="BR17">
        <v>64</v>
      </c>
      <c r="BS17">
        <v>58</v>
      </c>
      <c r="BT17">
        <v>53</v>
      </c>
      <c r="BU17">
        <v>62</v>
      </c>
      <c r="BV17">
        <v>57</v>
      </c>
      <c r="BW17">
        <v>52</v>
      </c>
      <c r="BY17">
        <v>4</v>
      </c>
      <c r="BZ17">
        <v>71</v>
      </c>
      <c r="CA17">
        <v>62</v>
      </c>
      <c r="CB17">
        <v>55</v>
      </c>
      <c r="CC17">
        <v>69</v>
      </c>
      <c r="CD17">
        <v>61</v>
      </c>
      <c r="CE17">
        <v>55</v>
      </c>
      <c r="CF17">
        <v>67</v>
      </c>
      <c r="CG17">
        <v>60</v>
      </c>
      <c r="CH17">
        <v>54</v>
      </c>
      <c r="CI17">
        <v>64</v>
      </c>
      <c r="CJ17">
        <v>58</v>
      </c>
      <c r="CK17">
        <v>53</v>
      </c>
      <c r="CL17">
        <v>62</v>
      </c>
      <c r="CM17">
        <v>57</v>
      </c>
      <c r="CN17">
        <v>52</v>
      </c>
      <c r="CP17">
        <v>4</v>
      </c>
      <c r="CQ17">
        <v>71</v>
      </c>
      <c r="CR17">
        <v>62</v>
      </c>
      <c r="CS17">
        <v>56</v>
      </c>
      <c r="CT17">
        <v>70</v>
      </c>
      <c r="CU17">
        <v>62</v>
      </c>
      <c r="CV17">
        <v>55</v>
      </c>
      <c r="CW17">
        <v>67</v>
      </c>
      <c r="CX17">
        <v>60</v>
      </c>
      <c r="CY17">
        <v>55</v>
      </c>
      <c r="CZ17">
        <v>65</v>
      </c>
      <c r="DA17">
        <v>59</v>
      </c>
      <c r="DB17">
        <v>54</v>
      </c>
      <c r="DC17">
        <v>63</v>
      </c>
      <c r="DD17">
        <v>58</v>
      </c>
      <c r="DE17">
        <v>53</v>
      </c>
    </row>
    <row r="18" spans="1:114" x14ac:dyDescent="0.25">
      <c r="B18" t="s">
        <v>6</v>
      </c>
      <c r="C18" s="22">
        <v>50</v>
      </c>
      <c r="I18">
        <v>5</v>
      </c>
      <c r="J18">
        <v>64</v>
      </c>
      <c r="K18">
        <v>55</v>
      </c>
      <c r="L18">
        <v>48</v>
      </c>
      <c r="M18">
        <v>62</v>
      </c>
      <c r="N18">
        <v>54</v>
      </c>
      <c r="O18">
        <v>48</v>
      </c>
      <c r="P18">
        <v>60</v>
      </c>
      <c r="Q18">
        <v>53</v>
      </c>
      <c r="R18">
        <v>47</v>
      </c>
      <c r="S18">
        <v>58</v>
      </c>
      <c r="T18">
        <v>52</v>
      </c>
      <c r="U18">
        <v>47</v>
      </c>
      <c r="V18">
        <v>57</v>
      </c>
      <c r="W18">
        <v>51</v>
      </c>
      <c r="X18">
        <v>46</v>
      </c>
      <c r="Z18">
        <v>5</v>
      </c>
      <c r="AA18">
        <v>64</v>
      </c>
      <c r="AB18">
        <v>55</v>
      </c>
      <c r="AC18">
        <v>49</v>
      </c>
      <c r="AD18">
        <v>63</v>
      </c>
      <c r="AE18">
        <v>55</v>
      </c>
      <c r="AF18">
        <v>48</v>
      </c>
      <c r="AG18">
        <v>61</v>
      </c>
      <c r="AH18">
        <v>53</v>
      </c>
      <c r="AI18">
        <v>48</v>
      </c>
      <c r="AJ18">
        <v>59</v>
      </c>
      <c r="AK18">
        <v>52</v>
      </c>
      <c r="AL18">
        <v>47</v>
      </c>
      <c r="AM18">
        <v>57</v>
      </c>
      <c r="AN18">
        <v>51</v>
      </c>
      <c r="AO18">
        <v>47</v>
      </c>
      <c r="AQ18">
        <v>5</v>
      </c>
      <c r="AR18">
        <v>62</v>
      </c>
      <c r="AS18">
        <v>53</v>
      </c>
      <c r="AT18">
        <v>47</v>
      </c>
      <c r="AU18">
        <v>61</v>
      </c>
      <c r="AV18">
        <v>53</v>
      </c>
      <c r="AW18">
        <v>46</v>
      </c>
      <c r="AX18">
        <v>59</v>
      </c>
      <c r="AY18">
        <v>52</v>
      </c>
      <c r="AZ18">
        <v>46</v>
      </c>
      <c r="BA18">
        <v>57</v>
      </c>
      <c r="BB18">
        <v>50</v>
      </c>
      <c r="BC18">
        <v>45</v>
      </c>
      <c r="BD18">
        <v>55</v>
      </c>
      <c r="BE18">
        <v>49</v>
      </c>
      <c r="BF18">
        <v>45</v>
      </c>
      <c r="BH18">
        <v>5</v>
      </c>
      <c r="BI18">
        <v>63</v>
      </c>
      <c r="BJ18">
        <v>54</v>
      </c>
      <c r="BK18">
        <v>47</v>
      </c>
      <c r="BL18">
        <v>62</v>
      </c>
      <c r="BM18">
        <v>53</v>
      </c>
      <c r="BN18">
        <v>47</v>
      </c>
      <c r="BO18">
        <v>60</v>
      </c>
      <c r="BP18">
        <v>52</v>
      </c>
      <c r="BQ18">
        <v>46</v>
      </c>
      <c r="BR18">
        <v>58</v>
      </c>
      <c r="BS18">
        <v>51</v>
      </c>
      <c r="BT18">
        <v>46</v>
      </c>
      <c r="BU18">
        <v>56</v>
      </c>
      <c r="BV18">
        <v>50</v>
      </c>
      <c r="BW18">
        <v>45</v>
      </c>
      <c r="BY18">
        <v>5</v>
      </c>
      <c r="BZ18">
        <v>63</v>
      </c>
      <c r="CA18">
        <v>54</v>
      </c>
      <c r="CB18">
        <v>47</v>
      </c>
      <c r="CC18">
        <v>62</v>
      </c>
      <c r="CD18">
        <v>53</v>
      </c>
      <c r="CE18">
        <v>47</v>
      </c>
      <c r="CF18">
        <v>60</v>
      </c>
      <c r="CG18">
        <v>52</v>
      </c>
      <c r="CH18">
        <v>47</v>
      </c>
      <c r="CI18">
        <v>58</v>
      </c>
      <c r="CJ18">
        <v>51</v>
      </c>
      <c r="CK18">
        <v>46</v>
      </c>
      <c r="CL18">
        <v>56</v>
      </c>
      <c r="CM18">
        <v>50</v>
      </c>
      <c r="CN18">
        <v>46</v>
      </c>
      <c r="CP18">
        <v>5</v>
      </c>
      <c r="CQ18">
        <v>64</v>
      </c>
      <c r="CR18">
        <v>55</v>
      </c>
      <c r="CS18">
        <v>48</v>
      </c>
      <c r="CT18">
        <v>63</v>
      </c>
      <c r="CU18">
        <v>54</v>
      </c>
      <c r="CV18">
        <v>48</v>
      </c>
      <c r="CW18">
        <v>60</v>
      </c>
      <c r="CX18">
        <v>53</v>
      </c>
      <c r="CY18">
        <v>47</v>
      </c>
      <c r="CZ18">
        <v>58</v>
      </c>
      <c r="DA18">
        <v>52</v>
      </c>
      <c r="DB18">
        <v>47</v>
      </c>
      <c r="DC18">
        <v>57</v>
      </c>
      <c r="DD18">
        <v>51</v>
      </c>
      <c r="DE18">
        <v>46</v>
      </c>
    </row>
    <row r="19" spans="1:114" x14ac:dyDescent="0.25">
      <c r="B19" t="s">
        <v>7</v>
      </c>
      <c r="C19">
        <v>20</v>
      </c>
      <c r="I19">
        <v>6</v>
      </c>
      <c r="J19">
        <v>57</v>
      </c>
      <c r="K19">
        <v>48</v>
      </c>
      <c r="L19">
        <v>42</v>
      </c>
      <c r="M19">
        <v>56</v>
      </c>
      <c r="N19">
        <v>48</v>
      </c>
      <c r="O19">
        <v>42</v>
      </c>
      <c r="P19">
        <v>55</v>
      </c>
      <c r="Q19">
        <v>47</v>
      </c>
      <c r="R19">
        <v>41</v>
      </c>
      <c r="S19">
        <v>53</v>
      </c>
      <c r="T19">
        <v>46</v>
      </c>
      <c r="U19">
        <v>41</v>
      </c>
      <c r="V19">
        <v>51</v>
      </c>
      <c r="W19">
        <v>45</v>
      </c>
      <c r="X19">
        <v>41</v>
      </c>
      <c r="Z19">
        <v>6</v>
      </c>
      <c r="AA19">
        <v>58</v>
      </c>
      <c r="AB19">
        <v>49</v>
      </c>
      <c r="AC19">
        <v>43</v>
      </c>
      <c r="AD19">
        <v>57</v>
      </c>
      <c r="AE19">
        <v>48</v>
      </c>
      <c r="AF19">
        <v>42</v>
      </c>
      <c r="AG19">
        <v>55</v>
      </c>
      <c r="AH19">
        <v>48</v>
      </c>
      <c r="AI19">
        <v>42</v>
      </c>
      <c r="AJ19">
        <v>53</v>
      </c>
      <c r="AK19">
        <v>47</v>
      </c>
      <c r="AL19">
        <v>42</v>
      </c>
      <c r="AM19">
        <v>52</v>
      </c>
      <c r="AN19">
        <v>46</v>
      </c>
      <c r="AO19">
        <v>41</v>
      </c>
      <c r="AQ19">
        <v>6</v>
      </c>
      <c r="AR19">
        <v>56</v>
      </c>
      <c r="AS19">
        <v>47</v>
      </c>
      <c r="AT19">
        <v>41</v>
      </c>
      <c r="AU19">
        <v>55</v>
      </c>
      <c r="AV19">
        <v>47</v>
      </c>
      <c r="AW19">
        <v>40</v>
      </c>
      <c r="AX19">
        <v>53</v>
      </c>
      <c r="AY19">
        <v>46</v>
      </c>
      <c r="AZ19">
        <v>40</v>
      </c>
      <c r="BA19">
        <v>52</v>
      </c>
      <c r="BB19">
        <v>45</v>
      </c>
      <c r="BC19">
        <v>40</v>
      </c>
      <c r="BD19">
        <v>50</v>
      </c>
      <c r="BE19">
        <v>44</v>
      </c>
      <c r="BF19">
        <v>39</v>
      </c>
      <c r="BH19">
        <v>6</v>
      </c>
      <c r="BI19">
        <v>57</v>
      </c>
      <c r="BJ19">
        <v>48</v>
      </c>
      <c r="BK19">
        <v>41</v>
      </c>
      <c r="BL19">
        <v>56</v>
      </c>
      <c r="BM19">
        <v>47</v>
      </c>
      <c r="BN19">
        <v>41</v>
      </c>
      <c r="BO19">
        <v>54</v>
      </c>
      <c r="BP19">
        <v>46</v>
      </c>
      <c r="BQ19">
        <v>41</v>
      </c>
      <c r="BR19">
        <v>52</v>
      </c>
      <c r="BS19">
        <v>45</v>
      </c>
      <c r="BT19">
        <v>40</v>
      </c>
      <c r="BU19">
        <v>50</v>
      </c>
      <c r="BV19">
        <v>44</v>
      </c>
      <c r="BW19">
        <v>40</v>
      </c>
      <c r="BY19">
        <v>6</v>
      </c>
      <c r="BZ19">
        <v>57</v>
      </c>
      <c r="CA19">
        <v>48</v>
      </c>
      <c r="CB19">
        <v>41</v>
      </c>
      <c r="CC19">
        <v>56</v>
      </c>
      <c r="CD19">
        <v>47</v>
      </c>
      <c r="CE19">
        <v>41</v>
      </c>
      <c r="CF19">
        <v>54</v>
      </c>
      <c r="CG19">
        <v>46</v>
      </c>
      <c r="CH19">
        <v>41</v>
      </c>
      <c r="CI19">
        <v>52</v>
      </c>
      <c r="CJ19">
        <v>46</v>
      </c>
      <c r="CK19">
        <v>40</v>
      </c>
      <c r="CL19">
        <v>51</v>
      </c>
      <c r="CM19">
        <v>45</v>
      </c>
      <c r="CN19">
        <v>40</v>
      </c>
      <c r="CP19">
        <v>6</v>
      </c>
      <c r="CQ19">
        <v>57</v>
      </c>
      <c r="CR19">
        <v>49</v>
      </c>
      <c r="CS19">
        <v>42</v>
      </c>
      <c r="CT19">
        <v>56</v>
      </c>
      <c r="CU19">
        <v>48</v>
      </c>
      <c r="CV19">
        <v>42</v>
      </c>
      <c r="CW19">
        <v>55</v>
      </c>
      <c r="CX19">
        <v>47</v>
      </c>
      <c r="CY19">
        <v>42</v>
      </c>
      <c r="CZ19">
        <v>53</v>
      </c>
      <c r="DA19">
        <v>46</v>
      </c>
      <c r="DB19">
        <v>41</v>
      </c>
      <c r="DC19">
        <v>51</v>
      </c>
      <c r="DD19">
        <v>46</v>
      </c>
      <c r="DE19">
        <v>41</v>
      </c>
    </row>
    <row r="20" spans="1:114" x14ac:dyDescent="0.25">
      <c r="I20">
        <v>7</v>
      </c>
      <c r="J20">
        <v>52</v>
      </c>
      <c r="K20">
        <v>43</v>
      </c>
      <c r="L20">
        <v>37</v>
      </c>
      <c r="M20">
        <v>51</v>
      </c>
      <c r="N20">
        <v>43</v>
      </c>
      <c r="O20">
        <v>37</v>
      </c>
      <c r="P20">
        <v>50</v>
      </c>
      <c r="Q20">
        <v>42</v>
      </c>
      <c r="R20">
        <v>37</v>
      </c>
      <c r="S20">
        <v>48</v>
      </c>
      <c r="T20">
        <v>41</v>
      </c>
      <c r="U20">
        <v>36</v>
      </c>
      <c r="V20">
        <v>47</v>
      </c>
      <c r="W20">
        <v>41</v>
      </c>
      <c r="X20">
        <v>36</v>
      </c>
      <c r="Z20">
        <v>7</v>
      </c>
      <c r="AA20">
        <v>52</v>
      </c>
      <c r="AB20">
        <v>44</v>
      </c>
      <c r="AC20">
        <v>38</v>
      </c>
      <c r="AD20">
        <v>52</v>
      </c>
      <c r="AE20">
        <v>43</v>
      </c>
      <c r="AF20">
        <v>38</v>
      </c>
      <c r="AG20">
        <v>50</v>
      </c>
      <c r="AH20">
        <v>43</v>
      </c>
      <c r="AI20">
        <v>37</v>
      </c>
      <c r="AJ20">
        <v>49</v>
      </c>
      <c r="AK20">
        <v>42</v>
      </c>
      <c r="AL20">
        <v>37</v>
      </c>
      <c r="AM20">
        <v>47</v>
      </c>
      <c r="AN20">
        <v>41</v>
      </c>
      <c r="AO20">
        <v>37</v>
      </c>
      <c r="AQ20">
        <v>7</v>
      </c>
      <c r="AR20">
        <v>51</v>
      </c>
      <c r="AS20">
        <v>42</v>
      </c>
      <c r="AT20">
        <v>36</v>
      </c>
      <c r="AU20">
        <v>50</v>
      </c>
      <c r="AV20">
        <v>42</v>
      </c>
      <c r="AW20">
        <v>36</v>
      </c>
      <c r="AX20">
        <v>48</v>
      </c>
      <c r="AY20">
        <v>41</v>
      </c>
      <c r="AZ20">
        <v>35</v>
      </c>
      <c r="BA20">
        <v>47</v>
      </c>
      <c r="BB20">
        <v>40</v>
      </c>
      <c r="BC20">
        <v>35</v>
      </c>
      <c r="BD20">
        <v>46</v>
      </c>
      <c r="BE20">
        <v>40</v>
      </c>
      <c r="BF20">
        <v>35</v>
      </c>
      <c r="BH20">
        <v>7</v>
      </c>
      <c r="BI20">
        <v>51</v>
      </c>
      <c r="BJ20">
        <v>42</v>
      </c>
      <c r="BK20">
        <v>36</v>
      </c>
      <c r="BL20">
        <v>50</v>
      </c>
      <c r="BM20">
        <v>42</v>
      </c>
      <c r="BN20">
        <v>36</v>
      </c>
      <c r="BO20">
        <v>49</v>
      </c>
      <c r="BP20">
        <v>41</v>
      </c>
      <c r="BQ20">
        <v>36</v>
      </c>
      <c r="BR20">
        <v>47</v>
      </c>
      <c r="BS20">
        <v>41</v>
      </c>
      <c r="BT20">
        <v>36</v>
      </c>
      <c r="BU20">
        <v>46</v>
      </c>
      <c r="BV20">
        <v>40</v>
      </c>
      <c r="BW20">
        <v>35</v>
      </c>
      <c r="BY20">
        <v>7</v>
      </c>
      <c r="BZ20">
        <v>51</v>
      </c>
      <c r="CA20">
        <v>43</v>
      </c>
      <c r="CB20">
        <v>37</v>
      </c>
      <c r="CC20">
        <v>51</v>
      </c>
      <c r="CD20">
        <v>42</v>
      </c>
      <c r="CE20">
        <v>36</v>
      </c>
      <c r="CF20">
        <v>49</v>
      </c>
      <c r="CG20">
        <v>42</v>
      </c>
      <c r="CH20">
        <v>36</v>
      </c>
      <c r="CI20">
        <v>48</v>
      </c>
      <c r="CJ20">
        <v>41</v>
      </c>
      <c r="CK20">
        <v>36</v>
      </c>
      <c r="CL20">
        <v>46</v>
      </c>
      <c r="CM20">
        <v>40</v>
      </c>
      <c r="CN20">
        <v>36</v>
      </c>
      <c r="CP20">
        <v>7</v>
      </c>
      <c r="CQ20">
        <v>52</v>
      </c>
      <c r="CR20">
        <v>43</v>
      </c>
      <c r="CS20">
        <v>37</v>
      </c>
      <c r="CT20">
        <v>51</v>
      </c>
      <c r="CU20">
        <v>43</v>
      </c>
      <c r="CV20">
        <v>37</v>
      </c>
      <c r="CW20">
        <v>50</v>
      </c>
      <c r="CX20">
        <v>42</v>
      </c>
      <c r="CY20">
        <v>37</v>
      </c>
      <c r="CZ20">
        <v>48</v>
      </c>
      <c r="DA20">
        <v>42</v>
      </c>
      <c r="DB20">
        <v>37</v>
      </c>
      <c r="DC20">
        <v>47</v>
      </c>
      <c r="DD20">
        <v>41</v>
      </c>
      <c r="DE20">
        <v>36</v>
      </c>
    </row>
    <row r="21" spans="1:114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F21" s="12" t="str">
        <f>IF(ISNUMBER(SEARCH("WO",C21)),"WO",IF(ISNUMBER(SEARCH("SW",C21)),"SW","FR"))</f>
        <v>FR</v>
      </c>
      <c r="I21">
        <v>8</v>
      </c>
      <c r="J21">
        <v>47</v>
      </c>
      <c r="K21">
        <v>39</v>
      </c>
      <c r="L21">
        <v>33</v>
      </c>
      <c r="M21">
        <v>47</v>
      </c>
      <c r="N21">
        <v>39</v>
      </c>
      <c r="O21">
        <v>33</v>
      </c>
      <c r="P21">
        <v>45</v>
      </c>
      <c r="Q21">
        <v>38</v>
      </c>
      <c r="R21">
        <v>33</v>
      </c>
      <c r="S21">
        <v>44</v>
      </c>
      <c r="T21">
        <v>37</v>
      </c>
      <c r="U21">
        <v>33</v>
      </c>
      <c r="V21">
        <v>43</v>
      </c>
      <c r="W21">
        <v>37</v>
      </c>
      <c r="X21">
        <v>32</v>
      </c>
      <c r="Z21">
        <v>8</v>
      </c>
      <c r="AA21">
        <v>48</v>
      </c>
      <c r="AB21">
        <v>39</v>
      </c>
      <c r="AC21">
        <v>34</v>
      </c>
      <c r="AD21">
        <v>47</v>
      </c>
      <c r="AE21">
        <v>39</v>
      </c>
      <c r="AF21">
        <v>34</v>
      </c>
      <c r="AG21">
        <v>46</v>
      </c>
      <c r="AH21">
        <v>39</v>
      </c>
      <c r="AI21">
        <v>33</v>
      </c>
      <c r="AJ21">
        <v>45</v>
      </c>
      <c r="AK21">
        <v>38</v>
      </c>
      <c r="AL21">
        <v>33</v>
      </c>
      <c r="AM21">
        <v>43</v>
      </c>
      <c r="AN21">
        <v>37</v>
      </c>
      <c r="AO21">
        <v>33</v>
      </c>
      <c r="AQ21">
        <v>8</v>
      </c>
      <c r="AR21">
        <v>46</v>
      </c>
      <c r="AS21">
        <v>38</v>
      </c>
      <c r="AT21">
        <v>32</v>
      </c>
      <c r="AU21">
        <v>46</v>
      </c>
      <c r="AV21">
        <v>37</v>
      </c>
      <c r="AW21">
        <v>32</v>
      </c>
      <c r="AX21">
        <v>44</v>
      </c>
      <c r="AY21">
        <v>37</v>
      </c>
      <c r="AZ21">
        <v>32</v>
      </c>
      <c r="BA21">
        <v>43</v>
      </c>
      <c r="BB21">
        <v>36</v>
      </c>
      <c r="BC21">
        <v>31</v>
      </c>
      <c r="BD21">
        <v>42</v>
      </c>
      <c r="BE21">
        <v>36</v>
      </c>
      <c r="BF21">
        <v>31</v>
      </c>
      <c r="BH21">
        <v>8</v>
      </c>
      <c r="BI21">
        <v>47</v>
      </c>
      <c r="BJ21">
        <v>38</v>
      </c>
      <c r="BK21">
        <v>32</v>
      </c>
      <c r="BL21">
        <v>46</v>
      </c>
      <c r="BM21">
        <v>38</v>
      </c>
      <c r="BN21">
        <v>32</v>
      </c>
      <c r="BO21">
        <v>45</v>
      </c>
      <c r="BP21">
        <v>37</v>
      </c>
      <c r="BQ21">
        <v>32</v>
      </c>
      <c r="BR21">
        <v>43</v>
      </c>
      <c r="BS21">
        <v>37</v>
      </c>
      <c r="BT21">
        <v>32</v>
      </c>
      <c r="BU21">
        <v>42</v>
      </c>
      <c r="BV21">
        <v>36</v>
      </c>
      <c r="BW21">
        <v>32</v>
      </c>
      <c r="BY21">
        <v>8</v>
      </c>
      <c r="BZ21">
        <v>47</v>
      </c>
      <c r="CA21">
        <v>38</v>
      </c>
      <c r="CB21">
        <v>33</v>
      </c>
      <c r="CC21">
        <v>46</v>
      </c>
      <c r="CD21">
        <v>38</v>
      </c>
      <c r="CE21">
        <v>32</v>
      </c>
      <c r="CF21">
        <v>45</v>
      </c>
      <c r="CG21">
        <v>38</v>
      </c>
      <c r="CH21">
        <v>32</v>
      </c>
      <c r="CI21">
        <v>44</v>
      </c>
      <c r="CJ21">
        <v>37</v>
      </c>
      <c r="CK21">
        <v>32</v>
      </c>
      <c r="CL21">
        <v>42</v>
      </c>
      <c r="CM21">
        <v>36</v>
      </c>
      <c r="CN21">
        <v>32</v>
      </c>
      <c r="CP21">
        <v>8</v>
      </c>
      <c r="CQ21">
        <v>48</v>
      </c>
      <c r="CR21">
        <v>39</v>
      </c>
      <c r="CS21">
        <v>33</v>
      </c>
      <c r="CT21">
        <v>47</v>
      </c>
      <c r="CU21">
        <v>39</v>
      </c>
      <c r="CV21">
        <v>33</v>
      </c>
      <c r="CW21">
        <v>46</v>
      </c>
      <c r="CX21">
        <v>38</v>
      </c>
      <c r="CY21">
        <v>33</v>
      </c>
      <c r="CZ21">
        <v>44</v>
      </c>
      <c r="DA21">
        <v>38</v>
      </c>
      <c r="DB21">
        <v>33</v>
      </c>
      <c r="DC21">
        <v>43</v>
      </c>
      <c r="DD21">
        <v>37</v>
      </c>
      <c r="DE21">
        <v>33</v>
      </c>
    </row>
    <row r="22" spans="1:114" x14ac:dyDescent="0.25">
      <c r="B22" t="s">
        <v>30</v>
      </c>
      <c r="C22" s="4" t="e">
        <f>VLOOKUP(C21,Model5136146156[],2,0)</f>
        <v>#N/A</v>
      </c>
      <c r="D22" t="s">
        <v>131</v>
      </c>
      <c r="I22">
        <v>9</v>
      </c>
      <c r="J22">
        <v>44</v>
      </c>
      <c r="K22">
        <v>35</v>
      </c>
      <c r="L22">
        <v>30</v>
      </c>
      <c r="M22">
        <v>43</v>
      </c>
      <c r="N22">
        <v>35</v>
      </c>
      <c r="O22">
        <v>30</v>
      </c>
      <c r="P22">
        <v>42</v>
      </c>
      <c r="Q22">
        <v>35</v>
      </c>
      <c r="R22">
        <v>30</v>
      </c>
      <c r="S22">
        <v>41</v>
      </c>
      <c r="T22">
        <v>34</v>
      </c>
      <c r="U22">
        <v>29</v>
      </c>
      <c r="V22">
        <v>40</v>
      </c>
      <c r="W22">
        <v>34</v>
      </c>
      <c r="X22">
        <v>29</v>
      </c>
      <c r="Z22">
        <v>9</v>
      </c>
      <c r="AA22">
        <v>44</v>
      </c>
      <c r="AB22">
        <v>36</v>
      </c>
      <c r="AC22">
        <v>30</v>
      </c>
      <c r="AD22">
        <v>43</v>
      </c>
      <c r="AE22">
        <v>36</v>
      </c>
      <c r="AF22">
        <v>30</v>
      </c>
      <c r="AG22">
        <v>42</v>
      </c>
      <c r="AH22">
        <v>35</v>
      </c>
      <c r="AI22">
        <v>30</v>
      </c>
      <c r="AJ22">
        <v>41</v>
      </c>
      <c r="AK22">
        <v>35</v>
      </c>
      <c r="AL22">
        <v>30</v>
      </c>
      <c r="AM22">
        <v>40</v>
      </c>
      <c r="AN22">
        <v>34</v>
      </c>
      <c r="AO22">
        <v>30</v>
      </c>
      <c r="AQ22">
        <v>9</v>
      </c>
      <c r="AR22">
        <v>43</v>
      </c>
      <c r="AS22">
        <v>34</v>
      </c>
      <c r="AT22">
        <v>29</v>
      </c>
      <c r="AU22">
        <v>42</v>
      </c>
      <c r="AV22">
        <v>34</v>
      </c>
      <c r="AW22">
        <v>29</v>
      </c>
      <c r="AX22">
        <v>41</v>
      </c>
      <c r="AY22">
        <v>34</v>
      </c>
      <c r="AZ22">
        <v>28</v>
      </c>
      <c r="BA22">
        <v>40</v>
      </c>
      <c r="BB22">
        <v>33</v>
      </c>
      <c r="BC22">
        <v>28</v>
      </c>
      <c r="BD22">
        <v>39</v>
      </c>
      <c r="BE22">
        <v>33</v>
      </c>
      <c r="BF22">
        <v>28</v>
      </c>
      <c r="BH22">
        <v>9</v>
      </c>
      <c r="BI22">
        <v>43</v>
      </c>
      <c r="BJ22">
        <v>35</v>
      </c>
      <c r="BK22">
        <v>29</v>
      </c>
      <c r="BL22">
        <v>42</v>
      </c>
      <c r="BM22">
        <v>34</v>
      </c>
      <c r="BN22">
        <v>29</v>
      </c>
      <c r="BO22">
        <v>41</v>
      </c>
      <c r="BP22">
        <v>34</v>
      </c>
      <c r="BQ22">
        <v>29</v>
      </c>
      <c r="BR22">
        <v>40</v>
      </c>
      <c r="BS22">
        <v>33</v>
      </c>
      <c r="BT22">
        <v>29</v>
      </c>
      <c r="BU22">
        <v>39</v>
      </c>
      <c r="BV22">
        <v>33</v>
      </c>
      <c r="BW22">
        <v>29</v>
      </c>
      <c r="BY22">
        <v>9</v>
      </c>
      <c r="BZ22">
        <v>43</v>
      </c>
      <c r="CA22">
        <v>35</v>
      </c>
      <c r="CB22">
        <v>29</v>
      </c>
      <c r="CC22">
        <v>43</v>
      </c>
      <c r="CD22">
        <v>35</v>
      </c>
      <c r="CE22">
        <v>29</v>
      </c>
      <c r="CF22">
        <v>41</v>
      </c>
      <c r="CG22">
        <v>34</v>
      </c>
      <c r="CH22">
        <v>29</v>
      </c>
      <c r="CI22">
        <v>40</v>
      </c>
      <c r="CJ22">
        <v>34</v>
      </c>
      <c r="CK22">
        <v>29</v>
      </c>
      <c r="CL22">
        <v>39</v>
      </c>
      <c r="CM22">
        <v>33</v>
      </c>
      <c r="CN22">
        <v>29</v>
      </c>
      <c r="CP22">
        <v>9</v>
      </c>
      <c r="CQ22">
        <v>44</v>
      </c>
      <c r="CR22">
        <v>36</v>
      </c>
      <c r="CS22">
        <v>30</v>
      </c>
      <c r="CT22">
        <v>43</v>
      </c>
      <c r="CU22">
        <v>35</v>
      </c>
      <c r="CV22">
        <v>30</v>
      </c>
      <c r="CW22">
        <v>42</v>
      </c>
      <c r="CX22">
        <v>35</v>
      </c>
      <c r="CY22">
        <v>30</v>
      </c>
      <c r="CZ22">
        <v>41</v>
      </c>
      <c r="DA22">
        <v>34</v>
      </c>
      <c r="DB22">
        <v>30</v>
      </c>
      <c r="DC22">
        <v>40</v>
      </c>
      <c r="DD22">
        <v>34</v>
      </c>
      <c r="DE22">
        <v>30</v>
      </c>
    </row>
    <row r="23" spans="1:114" x14ac:dyDescent="0.25">
      <c r="B23" t="s">
        <v>31</v>
      </c>
      <c r="C23" t="e">
        <f>VLOOKUP(C21,Model5136146156[],3,FALSE)</f>
        <v>#N/A</v>
      </c>
      <c r="D23" t="s">
        <v>132</v>
      </c>
      <c r="I23">
        <v>10</v>
      </c>
      <c r="J23">
        <v>40</v>
      </c>
      <c r="K23">
        <v>32</v>
      </c>
      <c r="L23">
        <v>27</v>
      </c>
      <c r="M23">
        <v>40</v>
      </c>
      <c r="N23">
        <v>32</v>
      </c>
      <c r="O23">
        <v>27</v>
      </c>
      <c r="P23">
        <v>39</v>
      </c>
      <c r="Q23">
        <v>32</v>
      </c>
      <c r="R23">
        <v>27</v>
      </c>
      <c r="S23">
        <v>38</v>
      </c>
      <c r="T23">
        <v>31</v>
      </c>
      <c r="U23">
        <v>27</v>
      </c>
      <c r="V23">
        <v>37</v>
      </c>
      <c r="W23">
        <v>31</v>
      </c>
      <c r="X23">
        <v>27</v>
      </c>
      <c r="Z23">
        <v>10</v>
      </c>
      <c r="AA23">
        <v>41</v>
      </c>
      <c r="AB23">
        <v>33</v>
      </c>
      <c r="AC23">
        <v>28</v>
      </c>
      <c r="AD23">
        <v>40</v>
      </c>
      <c r="AE23">
        <v>33</v>
      </c>
      <c r="AF23">
        <v>28</v>
      </c>
      <c r="AG23">
        <v>39</v>
      </c>
      <c r="AH23">
        <v>32</v>
      </c>
      <c r="AI23">
        <v>27</v>
      </c>
      <c r="AJ23">
        <v>38</v>
      </c>
      <c r="AK23">
        <v>32</v>
      </c>
      <c r="AL23">
        <v>27</v>
      </c>
      <c r="AM23">
        <v>37</v>
      </c>
      <c r="AN23">
        <v>31</v>
      </c>
      <c r="AO23">
        <v>27</v>
      </c>
      <c r="AQ23">
        <v>10</v>
      </c>
      <c r="AR23">
        <v>39</v>
      </c>
      <c r="AS23">
        <v>31</v>
      </c>
      <c r="AT23">
        <v>26</v>
      </c>
      <c r="AU23">
        <v>39</v>
      </c>
      <c r="AV23">
        <v>31</v>
      </c>
      <c r="AW23">
        <v>26</v>
      </c>
      <c r="AX23">
        <v>38</v>
      </c>
      <c r="AY23">
        <v>31</v>
      </c>
      <c r="AZ23">
        <v>26</v>
      </c>
      <c r="BA23">
        <v>37</v>
      </c>
      <c r="BB23">
        <v>30</v>
      </c>
      <c r="BC23">
        <v>26</v>
      </c>
      <c r="BD23">
        <v>36</v>
      </c>
      <c r="BE23">
        <v>30</v>
      </c>
      <c r="BF23">
        <v>26</v>
      </c>
      <c r="BH23">
        <v>10</v>
      </c>
      <c r="BI23">
        <v>40</v>
      </c>
      <c r="BJ23">
        <v>32</v>
      </c>
      <c r="BK23">
        <v>26</v>
      </c>
      <c r="BL23">
        <v>39</v>
      </c>
      <c r="BM23">
        <v>31</v>
      </c>
      <c r="BN23">
        <v>26</v>
      </c>
      <c r="BO23">
        <v>38</v>
      </c>
      <c r="BP23">
        <v>31</v>
      </c>
      <c r="BQ23">
        <v>26</v>
      </c>
      <c r="BR23">
        <v>37</v>
      </c>
      <c r="BS23">
        <v>31</v>
      </c>
      <c r="BT23">
        <v>26</v>
      </c>
      <c r="BU23">
        <v>36</v>
      </c>
      <c r="BV23">
        <v>30</v>
      </c>
      <c r="BW23">
        <v>26</v>
      </c>
      <c r="BY23">
        <v>10</v>
      </c>
      <c r="BZ23">
        <v>40</v>
      </c>
      <c r="CA23">
        <v>32</v>
      </c>
      <c r="CB23">
        <v>27</v>
      </c>
      <c r="CC23">
        <v>39</v>
      </c>
      <c r="CD23">
        <v>32</v>
      </c>
      <c r="CE23">
        <v>27</v>
      </c>
      <c r="CF23">
        <v>38</v>
      </c>
      <c r="CG23">
        <v>31</v>
      </c>
      <c r="CH23">
        <v>26</v>
      </c>
      <c r="CI23">
        <v>37</v>
      </c>
      <c r="CJ23">
        <v>31</v>
      </c>
      <c r="CK23">
        <v>26</v>
      </c>
      <c r="CL23">
        <v>36</v>
      </c>
      <c r="CM23">
        <v>30</v>
      </c>
      <c r="CN23">
        <v>26</v>
      </c>
      <c r="CP23">
        <v>10</v>
      </c>
      <c r="CQ23">
        <v>40</v>
      </c>
      <c r="CR23">
        <v>33</v>
      </c>
      <c r="CS23">
        <v>27</v>
      </c>
      <c r="CT23">
        <v>40</v>
      </c>
      <c r="CU23">
        <v>32</v>
      </c>
      <c r="CV23">
        <v>27</v>
      </c>
      <c r="CW23">
        <v>39</v>
      </c>
      <c r="CX23">
        <v>32</v>
      </c>
      <c r="CY23">
        <v>27</v>
      </c>
      <c r="CZ23">
        <v>38</v>
      </c>
      <c r="DA23">
        <v>32</v>
      </c>
      <c r="DB23">
        <v>27</v>
      </c>
      <c r="DC23">
        <v>37</v>
      </c>
      <c r="DD23">
        <v>31</v>
      </c>
      <c r="DE23">
        <v>27</v>
      </c>
    </row>
    <row r="24" spans="1:114" x14ac:dyDescent="0.25">
      <c r="B24" t="s">
        <v>3</v>
      </c>
      <c r="C24" s="11" t="e">
        <f t="array" ref="C24">INDEX(CUtable4135145155[],MATCH(1,(CUtable4135145155[RC]=C17)*(CUtable4135145155[RW]=C18)*(CUtable4135145155[Lens]=F21)*(CUtable4135145155[Size]=E21),0),5)</f>
        <v>#N/A</v>
      </c>
      <c r="H24" s="5"/>
    </row>
    <row r="25" spans="1:114" x14ac:dyDescent="0.25">
      <c r="B25" t="s">
        <v>133</v>
      </c>
      <c r="C25" s="11" t="e">
        <f t="array" ref="C25">INDEX(Table81217140150160[],MATCH(1,(Table81217140150160[Size]=E21)*(Table81217140150160[Lens]=F21),0),3)</f>
        <v>#N/A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  <c r="BH25" t="s">
        <v>217</v>
      </c>
      <c r="BI25" t="e">
        <f>(BI26*BI30^3)+(BI27*BI30^2)+(BI28*BI30)+BI29</f>
        <v>#DIV/0!</v>
      </c>
      <c r="BJ25" t="e">
        <f>(BJ26*BJ30^3)+(BJ27*BJ30^2)+(BJ28*BJ30)+BJ29</f>
        <v>#DIV/0!</v>
      </c>
      <c r="BK25" t="e">
        <f>(BK26*BK30^3)+(BK27*BK30^2)+(BK28*BK30)+BK29</f>
        <v>#DIV/0!</v>
      </c>
      <c r="BL25" t="e">
        <f t="shared" ref="BL25" si="3">(BL26*BL30^3)+(BL27*BL30^2)+(BL28*BL30)+BL29</f>
        <v>#DIV/0!</v>
      </c>
      <c r="BM25" t="e">
        <f t="shared" ref="BM25" si="4">(BM26*BM30^3)+(BM27*BM30^2)+(BM28*BM30)+BM29</f>
        <v>#DIV/0!</v>
      </c>
      <c r="BN25" t="e">
        <f t="shared" ref="BN25" si="5">(BN26*BN30^3)+(BN27*BN30^2)+(BN28*BN30)+BN29</f>
        <v>#DIV/0!</v>
      </c>
      <c r="BO25" t="e">
        <f t="shared" ref="BO25" si="6">(BO26*BO30^3)+(BO27*BO30^2)+(BO28*BO30)+BO29</f>
        <v>#DIV/0!</v>
      </c>
      <c r="BP25" t="e">
        <f t="shared" ref="BP25" si="7">(BP26*BP30^3)+(BP27*BP30^2)+(BP28*BP30)+BP29</f>
        <v>#DIV/0!</v>
      </c>
      <c r="BQ25" t="e">
        <f t="shared" ref="BQ25" si="8">(BQ26*BQ30^3)+(BQ27*BQ30^2)+(BQ28*BQ30)+BQ29</f>
        <v>#DIV/0!</v>
      </c>
      <c r="BR25" t="e">
        <f t="shared" ref="BR25" si="9">(BR26*BR30^3)+(BR27*BR30^2)+(BR28*BR30)+BR29</f>
        <v>#DIV/0!</v>
      </c>
      <c r="BS25" t="e">
        <f t="shared" ref="BS25" si="10">(BS26*BS30^3)+(BS27*BS30^2)+(BS28*BS30)+BS29</f>
        <v>#DIV/0!</v>
      </c>
      <c r="BT25" t="e">
        <f t="shared" ref="BT25" si="11">(BT26*BT30^3)+(BT27*BT30^2)+(BT28*BT30)+BT29</f>
        <v>#DIV/0!</v>
      </c>
      <c r="BU25" t="e">
        <f t="shared" ref="BU25" si="12">(BU26*BU30^3)+(BU27*BU30^2)+(BU28*BU30)+BU29</f>
        <v>#DIV/0!</v>
      </c>
      <c r="BV25" t="e">
        <f t="shared" ref="BV25" si="13">(BV26*BV30^3)+(BV27*BV30^2)+(BV28*BV30)+BV29</f>
        <v>#DIV/0!</v>
      </c>
      <c r="BW25" t="e">
        <f t="shared" ref="BW25" si="14">(BW26*BW30^3)+(BW27*BW30^2)+(BW28*BW30)+BW29</f>
        <v>#DIV/0!</v>
      </c>
      <c r="BY25" t="s">
        <v>217</v>
      </c>
      <c r="BZ25" t="e">
        <f t="shared" ref="BZ25" si="15">(BZ26*BZ30^3)+(BZ27*BZ30^2)+(BZ28*BZ30)+BZ29</f>
        <v>#DIV/0!</v>
      </c>
      <c r="CA25" t="e">
        <f t="shared" ref="CA25" si="16">(CA26*CA30^3)+(CA27*CA30^2)+(CA28*CA30)+CA29</f>
        <v>#DIV/0!</v>
      </c>
      <c r="CB25" t="e">
        <f t="shared" ref="CB25" si="17">(CB26*CB30^3)+(CB27*CB30^2)+(CB28*CB30)+CB29</f>
        <v>#DIV/0!</v>
      </c>
      <c r="CC25" t="e">
        <f t="shared" ref="CC25" si="18">(CC26*CC30^3)+(CC27*CC30^2)+(CC28*CC30)+CC29</f>
        <v>#DIV/0!</v>
      </c>
      <c r="CD25" t="e">
        <f t="shared" ref="CD25" si="19">(CD26*CD30^3)+(CD27*CD30^2)+(CD28*CD30)+CD29</f>
        <v>#DIV/0!</v>
      </c>
      <c r="CE25" t="e">
        <f t="shared" ref="CE25" si="20">(CE26*CE30^3)+(CE27*CE30^2)+(CE28*CE30)+CE29</f>
        <v>#DIV/0!</v>
      </c>
      <c r="CF25" t="e">
        <f t="shared" ref="CF25" si="21">(CF26*CF30^3)+(CF27*CF30^2)+(CF28*CF30)+CF29</f>
        <v>#DIV/0!</v>
      </c>
      <c r="CG25" t="e">
        <f t="shared" ref="CG25" si="22">(CG26*CG30^3)+(CG27*CG30^2)+(CG28*CG30)+CG29</f>
        <v>#DIV/0!</v>
      </c>
      <c r="CH25" t="e">
        <f t="shared" ref="CH25" si="23">(CH26*CH30^3)+(CH27*CH30^2)+(CH28*CH30)+CH29</f>
        <v>#DIV/0!</v>
      </c>
      <c r="CI25" t="e">
        <f t="shared" ref="CI25" si="24">(CI26*CI30^3)+(CI27*CI30^2)+(CI28*CI30)+CI29</f>
        <v>#DIV/0!</v>
      </c>
      <c r="CJ25" t="e">
        <f t="shared" ref="CJ25" si="25">(CJ26*CJ30^3)+(CJ27*CJ30^2)+(CJ28*CJ30)+CJ29</f>
        <v>#DIV/0!</v>
      </c>
      <c r="CK25" t="e">
        <f t="shared" ref="CK25" si="26">(CK26*CK30^3)+(CK27*CK30^2)+(CK28*CK30)+CK29</f>
        <v>#DIV/0!</v>
      </c>
      <c r="CL25" t="e">
        <f t="shared" ref="CL25" si="27">(CL26*CL30^3)+(CL27*CL30^2)+(CL28*CL30)+CL29</f>
        <v>#DIV/0!</v>
      </c>
      <c r="CM25" t="e">
        <f t="shared" ref="CM25" si="28">(CM26*CM30^3)+(CM27*CM30^2)+(CM28*CM30)+CM29</f>
        <v>#DIV/0!</v>
      </c>
      <c r="CN25" t="e">
        <f t="shared" ref="CN25" si="29">(CN26*CN30^3)+(CN27*CN30^2)+(CN28*CN30)+CN29</f>
        <v>#DIV/0!</v>
      </c>
      <c r="CP25" t="s">
        <v>217</v>
      </c>
      <c r="CQ25" t="e">
        <f t="shared" ref="CQ25" si="30">(CQ26*CQ30^3)+(CQ27*CQ30^2)+(CQ28*CQ30)+CQ29</f>
        <v>#DIV/0!</v>
      </c>
      <c r="CR25" t="e">
        <f t="shared" ref="CR25" si="31">(CR26*CR30^3)+(CR27*CR30^2)+(CR28*CR30)+CR29</f>
        <v>#DIV/0!</v>
      </c>
      <c r="CS25" t="e">
        <f t="shared" ref="CS25" si="32">(CS26*CS30^3)+(CS27*CS30^2)+(CS28*CS30)+CS29</f>
        <v>#DIV/0!</v>
      </c>
      <c r="CT25" t="e">
        <f t="shared" ref="CT25" si="33">(CT26*CT30^3)+(CT27*CT30^2)+(CT28*CT30)+CT29</f>
        <v>#DIV/0!</v>
      </c>
      <c r="CU25" t="e">
        <f t="shared" ref="CU25" si="34">(CU26*CU30^3)+(CU27*CU30^2)+(CU28*CU30)+CU29</f>
        <v>#DIV/0!</v>
      </c>
      <c r="CV25" t="e">
        <f t="shared" ref="CV25" si="35">(CV26*CV30^3)+(CV27*CV30^2)+(CV28*CV30)+CV29</f>
        <v>#DIV/0!</v>
      </c>
      <c r="CW25" t="e">
        <f t="shared" ref="CW25" si="36">(CW26*CW30^3)+(CW27*CW30^2)+(CW28*CW30)+CW29</f>
        <v>#DIV/0!</v>
      </c>
      <c r="CX25" t="e">
        <f t="shared" ref="CX25" si="37">(CX26*CX30^3)+(CX27*CX30^2)+(CX28*CX30)+CX29</f>
        <v>#DIV/0!</v>
      </c>
      <c r="CY25" t="e">
        <f t="shared" ref="CY25" si="38">(CY26*CY30^3)+(CY27*CY30^2)+(CY28*CY30)+CY29</f>
        <v>#DIV/0!</v>
      </c>
      <c r="CZ25" t="e">
        <f t="shared" ref="CZ25" si="39">(CZ26*CZ30^3)+(CZ27*CZ30^2)+(CZ28*CZ30)+CZ29</f>
        <v>#DIV/0!</v>
      </c>
      <c r="DA25" t="e">
        <f t="shared" ref="DA25" si="40">(DA26*DA30^3)+(DA27*DA30^2)+(DA28*DA30)+DA29</f>
        <v>#DIV/0!</v>
      </c>
      <c r="DB25" t="e">
        <f t="shared" ref="DB25" si="41">(DB26*DB30^3)+(DB27*DB30^2)+(DB28*DB30)+DB29</f>
        <v>#DIV/0!</v>
      </c>
      <c r="DC25" t="e">
        <f t="shared" ref="DC25" si="42">(DC26*DC30^3)+(DC27*DC30^2)+(DC28*DC30)+DC29</f>
        <v>#DIV/0!</v>
      </c>
      <c r="DD25" t="e">
        <f t="shared" ref="DD25" si="43">(DD26*DD30^3)+(DD27*DD30^2)+(DD28*DD30)+DD29</f>
        <v>#DIV/0!</v>
      </c>
      <c r="DE25" t="e">
        <f t="shared" ref="DE25" si="44">(DE26*DE30^3)+(DE27*DE30^2)+(DE28*DE30)+DE29</f>
        <v>#DIV/0!</v>
      </c>
    </row>
    <row r="26" spans="1:114" x14ac:dyDescent="0.25">
      <c r="B26" t="s">
        <v>134</v>
      </c>
      <c r="C26" s="11" t="e">
        <f t="array" ref="C26">INDEX(Table81217140150160[],MATCH(1,(Table81217140150160[Size]=E21)*(Table81217140150160[Lens]=F21),0),4)</f>
        <v>#N/A</v>
      </c>
      <c r="H26" s="5"/>
      <c r="I26" t="s">
        <v>218</v>
      </c>
      <c r="J26">
        <f>INDEX(LINEST(Table2x4134144154[CU],Table2x4134144154[RCR]^{1,2,3}),1)</f>
        <v>-3.923853923853967E-2</v>
      </c>
      <c r="K26">
        <f>INDEX(LINEST(Table2x4134144154[CU1],Table2x4134144154[RCR]^{1,2,3}),1)</f>
        <v>-6.7016317016317314E-2</v>
      </c>
      <c r="L26">
        <f>INDEX(LINEST(Table2x4134144154[CU2],Table2x4134144154[RCR]^{1,2,3}),1)</f>
        <v>-9.3822843822844268E-2</v>
      </c>
      <c r="M26">
        <f>INDEX(LINEST(Table2x4134144154[CU3],Table2x4134144154[RCR]^{1,2,3}),1)</f>
        <v>-3.1468531468531957E-2</v>
      </c>
      <c r="N26">
        <f>INDEX(LINEST(Table2x4134144154[CU4],Table2x4134144154[RCR]^{1,2,3}),1)</f>
        <v>-6.4879564879565518E-2</v>
      </c>
      <c r="O26">
        <f>INDEX(LINEST(Table2x4134144154[CU5],Table2x4134144154[RCR]^{1,2,3}),1)</f>
        <v>-9.0132090132090559E-2</v>
      </c>
      <c r="P26">
        <f>INDEX(LINEST(Table2x4134144154[CU6],Table2x4134144154[RCR]^{1,2,3}),1)</f>
        <v>-3.0303030303030654E-2</v>
      </c>
      <c r="Q26">
        <f>INDEX(LINEST(Table2x4134144154[CU7],Table2x4134144154[RCR]^{1,2,3}),1)</f>
        <v>-5.0699300699301016E-2</v>
      </c>
      <c r="R26">
        <f>INDEX(LINEST(Table2x4134144154[CU8],Table2x4134144154[RCR]^{1,2,3}),1)</f>
        <v>-7.478632478632502E-2</v>
      </c>
      <c r="S26">
        <f>INDEX(LINEST(Table2x4134144154[CU9],Table2x4134144154[RCR]^{1,2,3}),1)</f>
        <v>-2.3504273504273719E-2</v>
      </c>
      <c r="T26">
        <f>INDEX(LINEST(Table2x4134144154[CU10],Table2x4134144154[RCR]^{1,2,3}),1)</f>
        <v>-4.2735042735043312E-2</v>
      </c>
      <c r="U26">
        <f>INDEX(LINEST(Table2x4134144154[CU11],Table2x4134144154[RCR]^{1,2,3}),1)</f>
        <v>-5.9246309246309727E-2</v>
      </c>
      <c r="V26">
        <f>INDEX(LINEST(Table2x4134144154[CU12],Table2x4134144154[RCR]^{1,2,3}),1)</f>
        <v>-3.1274281274281647E-2</v>
      </c>
      <c r="W26">
        <f>INDEX(LINEST(Table2x4134144154[CU13],Table2x4134144154[RCR]^{1,2,3}),1)</f>
        <v>-3.7101787101787048E-2</v>
      </c>
      <c r="X26">
        <f>INDEX(LINEST(Table2x4134144154[CU14],Table2x4134144154[RCR]^{1,2,3}),1)</f>
        <v>-4.5454545454545976E-2</v>
      </c>
      <c r="Z26" t="s">
        <v>218</v>
      </c>
      <c r="AA26">
        <f>INDEX(LINEST(Table2x2141151161[CU],Table2x2141151161[RCR]^{1,2,3}),1)</f>
        <v>-2.7777777777777787E-2</v>
      </c>
      <c r="AB26">
        <f>INDEX(LINEST(Table2x2141151161[CU1],Table2x2141151161[RCR]^{1,2,3}),1)</f>
        <v>-6.1188811188811421E-2</v>
      </c>
      <c r="AC26">
        <f>INDEX(LINEST(Table2x2141151161[CU2],Table2x2141151161[RCR]^{1,2,3}),1)</f>
        <v>-9.9456099456099747E-2</v>
      </c>
      <c r="AD26">
        <f>INDEX(LINEST(Table2x2141151161[CU3],Table2x2141151161[RCR]^{1,2,3}),1)</f>
        <v>-3.4382284382284627E-2</v>
      </c>
      <c r="AE26">
        <f>INDEX(LINEST(Table2x2141151161[CU4],Table2x2141151161[RCR]^{1,2,3}),1)</f>
        <v>-5.0310800310800805E-2</v>
      </c>
      <c r="AF26">
        <f>INDEX(LINEST(Table2x2141151161[CU5],Table2x2141151161[RCR]^{1,2,3}),1)</f>
        <v>-8.5858585858586092E-2</v>
      </c>
      <c r="AG26">
        <f>INDEX(LINEST(Table2x2141151161[CU6],Table2x2141151161[RCR]^{1,2,3}),1)</f>
        <v>-3.1857031857031849E-2</v>
      </c>
      <c r="AH26">
        <f>INDEX(LINEST(Table2x2141151161[CU7],Table2x2141151161[RCR]^{1,2,3}),1)</f>
        <v>-5.4972804972805094E-2</v>
      </c>
      <c r="AI26">
        <f>INDEX(LINEST(Table2x2141151161[CU8],Table2x2141151161[RCR]^{1,2,3}),1)</f>
        <v>-7.3232323232323551E-2</v>
      </c>
      <c r="AJ26">
        <f>INDEX(LINEST(Table2x2141151161[CU9],Table2x2141151161[RCR]^{1,2,3}),1)</f>
        <v>-3.2245532245532484E-2</v>
      </c>
      <c r="AK26">
        <f>INDEX(LINEST(Table2x2141151161[CU10],Table2x2141151161[RCR]^{1,2,3}),1)</f>
        <v>-4.0792540792541097E-2</v>
      </c>
      <c r="AL26">
        <f>INDEX(LINEST(Table2x2141151161[CU11],Table2x2141151161[RCR]^{1,2,3}),1)</f>
        <v>-6.3325563325563577E-2</v>
      </c>
      <c r="AM26">
        <f>INDEX(LINEST(Table2x2141151161[CU12],Table2x2141151161[RCR]^{1,2,3}),1)</f>
        <v>-2.4087024087024338E-2</v>
      </c>
      <c r="AN26">
        <f>INDEX(LINEST(Table2x2141151161[CU13],Table2x2141151161[RCR]^{1,2,3}),1)</f>
        <v>-3.8655788655789086E-2</v>
      </c>
      <c r="AO26">
        <f>INDEX(LINEST(Table2x2141151161[CU14],Table2x2141151161[RCR]^{1,2,3}),1)</f>
        <v>-5.2641802641802952E-2</v>
      </c>
      <c r="AQ26" t="s">
        <v>218</v>
      </c>
      <c r="AR26">
        <f>INDEX(LINEST(Table1x4143153163[CU],Table1x4143153163[RCR]^{1,2,3}),1)</f>
        <v>-4.3900543900544112E-2</v>
      </c>
      <c r="AS26">
        <f>INDEX(LINEST(Table1x4143153163[CU1],Table1x4143153163[RCR]^{1,2,3}),1)</f>
        <v>-7.7117327117327647E-2</v>
      </c>
      <c r="AT26">
        <f>INDEX(LINEST(Table1x4143153163[CU2],Table1x4143153163[RCR]^{1,2,3}),1)</f>
        <v>-0.11111111111111194</v>
      </c>
      <c r="AU26">
        <f>INDEX(LINEST(Table1x4143153163[CU3],Table1x4143153163[RCR]^{1,2,3}),1)</f>
        <v>-4.1763791763792128E-2</v>
      </c>
      <c r="AV26">
        <f>INDEX(LINEST(Table1x4143153163[CU4],Table1x4143153163[RCR]^{1,2,3}),1)</f>
        <v>-6.7987567987568651E-2</v>
      </c>
      <c r="AW26">
        <f>INDEX(LINEST(Table1x4143153163[CU5],Table1x4143153163[RCR]^{1,2,3}),1)</f>
        <v>-9.3240093240093982E-2</v>
      </c>
      <c r="AX26">
        <f>INDEX(LINEST(Table1x4143153163[CU6],Table1x4143153163[RCR]^{1,2,3}),1)</f>
        <v>-3.3411033411033554E-2</v>
      </c>
      <c r="AY26">
        <f>INDEX(LINEST(Table1x4143153163[CU7],Table1x4143153163[RCR]^{1,2,3}),1)</f>
        <v>-6.0800310800311223E-2</v>
      </c>
      <c r="AZ26">
        <f>INDEX(LINEST(Table1x4143153163[CU8],Table1x4143153163[RCR]^{1,2,3}),1)</f>
        <v>-8.2167832167832786E-2</v>
      </c>
      <c r="BA26">
        <f>INDEX(LINEST(Table1x4143153163[CU9],Table1x4143153163[RCR]^{1,2,3}),1)</f>
        <v>-3.3605283605283837E-2</v>
      </c>
      <c r="BB26">
        <f>INDEX(LINEST(Table1x4143153163[CU10],Table1x4143153163[RCR]^{1,2,3}),1)</f>
        <v>-5.1282051282051599E-2</v>
      </c>
      <c r="BC26">
        <f>INDEX(LINEST(Table1x4143153163[CU11],Table1x4143153163[RCR]^{1,2,3}),1)</f>
        <v>-6.7987567987568276E-2</v>
      </c>
      <c r="BD26">
        <f>INDEX(LINEST(Table1x4143153163[CU12],Table1x4143153163[RCR]^{1,2,3}),1)</f>
        <v>-3.8655788655788968E-2</v>
      </c>
      <c r="BE26">
        <f>INDEX(LINEST(Table1x4143153163[CU13],Table1x4143153163[RCR]^{1,2,3}),1)</f>
        <v>-4.895104895104907E-2</v>
      </c>
      <c r="BF26">
        <f>INDEX(LINEST(Table1x4143153163[CU14],Table1x4143153163[RCR]^{1,2,3}),1)</f>
        <v>-5.7303807303807831E-2</v>
      </c>
      <c r="BH26" t="s">
        <v>218</v>
      </c>
      <c r="BI26">
        <f>INDEX(LINEST(Table2x4134144154164[CU],Table2x4134144154164[RCR]^{1,2,3}),1)</f>
        <v>-4.5066045066045196E-2</v>
      </c>
      <c r="BJ26">
        <f>INDEX(LINEST(Table2x4134144154164[CU1],Table2x4134144154164[RCR]^{1,2,3}),1)</f>
        <v>-6.9735819735819951E-2</v>
      </c>
      <c r="BK26">
        <f>INDEX(LINEST(Table2x4134144154164[CU2],Table2x4134144154164[RCR]^{1,2,3}),1)</f>
        <v>-9.9650349650349981E-2</v>
      </c>
      <c r="BL26">
        <f>INDEX(LINEST(Table2x4134144154164[CU3],Table2x4134144154164[RCR]^{1,2,3}),1)</f>
        <v>-3.4576534576534902E-2</v>
      </c>
      <c r="BM26">
        <f>INDEX(LINEST(Table2x4134144154164[CU4],Table2x4134144154164[RCR]^{1,2,3}),1)</f>
        <v>-6.9541569541569759E-2</v>
      </c>
      <c r="BN26">
        <f>INDEX(LINEST(Table2x4134144154164[CU5],Table2x4134144154164[RCR]^{1,2,3}),1)</f>
        <v>-9.5959595959596231E-2</v>
      </c>
      <c r="BO26">
        <f>INDEX(LINEST(Table2x4134144154164[CU6],Table2x4134144154164[RCR]^{1,2,3}),1)</f>
        <v>-4.0404040404040512E-2</v>
      </c>
      <c r="BP26">
        <f>INDEX(LINEST(Table2x4134144154164[CU7],Table2x4134144154164[RCR]^{1,2,3}),1)</f>
        <v>-5.6526806526806667E-2</v>
      </c>
      <c r="BQ26">
        <f>INDEX(LINEST(Table2x4134144154164[CU8],Table2x4134144154164[RCR]^{1,2,3}),1)</f>
        <v>-8.3333333333333925E-2</v>
      </c>
      <c r="BR26">
        <f>INDEX(LINEST(Table2x4134144154164[CU9],Table2x4134144154164[RCR]^{1,2,3}),1)</f>
        <v>-2.9331779331779585E-2</v>
      </c>
      <c r="BS26">
        <f>INDEX(LINEST(Table2x4134144154164[CU10],Table2x4134144154164[RCR]^{1,2,3}),1)</f>
        <v>-5.1476301476301806E-2</v>
      </c>
      <c r="BT26">
        <f>INDEX(LINEST(Table2x4134144154164[CU11],Table2x4134144154164[RCR]^{1,2,3}),1)</f>
        <v>-7.0707070707070954E-2</v>
      </c>
      <c r="BU26">
        <f>INDEX(LINEST(Table2x4134144154164[CU12],Table2x4134144154164[RCR]^{1,2,3}),1)</f>
        <v>-3.1662781662781782E-2</v>
      </c>
      <c r="BV26">
        <f>INDEX(LINEST(Table2x4134144154164[CU13],Table2x4134144154164[RCR]^{1,2,3}),1)</f>
        <v>-4.1763791763791913E-2</v>
      </c>
      <c r="BW26">
        <f>INDEX(LINEST(Table2x4134144154164[CU14],Table2x4134144154164[RCR]^{1,2,3}),1)</f>
        <v>-5.672105672105697E-2</v>
      </c>
      <c r="BY26" t="s">
        <v>218</v>
      </c>
      <c r="BZ26">
        <f>INDEX(LINEST(Table2x4134144154165[CU],Table2x4134144154165[RCR]^{1,2,3}),1)</f>
        <v>-3.3605283605284079E-2</v>
      </c>
      <c r="CA26">
        <f>INDEX(LINEST(Table2x4134144154165[CU1],Table2x4134144154165[RCR]^{1,2,3}),1)</f>
        <v>-7.1484071484071723E-2</v>
      </c>
      <c r="CB26">
        <f>INDEX(LINEST(Table2x4134144154165[CU2],Table2x4134144154165[RCR]^{1,2,3}),1)</f>
        <v>-0.10256410256410307</v>
      </c>
      <c r="CC26">
        <f>INDEX(LINEST(Table2x4134144154165[CU3],Table2x4134144154165[RCR]^{1,2,3}),1)</f>
        <v>-4.0209790209790729E-2</v>
      </c>
      <c r="CD26">
        <f>INDEX(LINEST(Table2x4134144154165[CU4],Table2x4134144154165[RCR]^{1,2,3}),1)</f>
        <v>-6.4879564879565296E-2</v>
      </c>
      <c r="CE26">
        <f>INDEX(LINEST(Table2x4134144154165[CU5],Table2x4134144154165[RCR]^{1,2,3}),1)</f>
        <v>-8.7412587412587797E-2</v>
      </c>
      <c r="CF26">
        <f>INDEX(LINEST(Table2x4134144154165[CU6],Table2x4134144154165[RCR]^{1,2,3}),1)</f>
        <v>-3.768453768453809E-2</v>
      </c>
      <c r="CG26">
        <f>INDEX(LINEST(Table2x4134144154165[CU7],Table2x4134144154165[RCR]^{1,2,3}),1)</f>
        <v>-5.8080808080808136E-2</v>
      </c>
      <c r="CH26">
        <f>INDEX(LINEST(Table2x4134144154165[CU8],Table2x4134144154165[RCR]^{1,2,3}),1)</f>
        <v>-8.3333333333333662E-2</v>
      </c>
      <c r="CI26">
        <f>INDEX(LINEST(Table2x4134144154165[CU9],Table2x4134144154165[RCR]^{1,2,3}),1)</f>
        <v>-3.6907536907537092E-2</v>
      </c>
      <c r="CJ26">
        <f>INDEX(LINEST(Table2x4134144154165[CU10],Table2x4134144154165[RCR]^{1,2,3}),1)</f>
        <v>-5.0893550893551145E-2</v>
      </c>
      <c r="CK26">
        <f>INDEX(LINEST(Table2x4134144154165[CU11],Table2x4134144154165[RCR]^{1,2,3}),1)</f>
        <v>-6.526806526806582E-2</v>
      </c>
      <c r="CL26">
        <f>INDEX(LINEST(Table2x4134144154165[CU12],Table2x4134144154165[RCR]^{1,2,3}),1)</f>
        <v>-2.9914529914530006E-2</v>
      </c>
      <c r="CM26">
        <f>INDEX(LINEST(Table2x4134144154165[CU13],Table2x4134144154165[RCR]^{1,2,3}),1)</f>
        <v>-4.4483294483294876E-2</v>
      </c>
      <c r="CN26">
        <f>INDEX(LINEST(Table2x4134144154165[CU14],Table2x4134144154165[RCR]^{1,2,3}),1)</f>
        <v>-6.1188811188811525E-2</v>
      </c>
      <c r="CP26" t="s">
        <v>218</v>
      </c>
      <c r="CQ26">
        <f>INDEX(LINEST(Table2x4134144154166[CU],Table2x4134144154166[RCR]^{1,2,3}),1)</f>
        <v>-4.3512043512043942E-2</v>
      </c>
      <c r="CR26">
        <f>INDEX(LINEST(Table2x4134144154166[CU1],Table2x4134144154166[RCR]^{1,2,3}),1)</f>
        <v>-6.9347319347320011E-2</v>
      </c>
      <c r="CS26">
        <f>INDEX(LINEST(Table2x4134144154166[CU2],Table2x4134144154166[RCR]^{1,2,3}),1)</f>
        <v>-9.4988344988345186E-2</v>
      </c>
      <c r="CT26">
        <f>INDEX(LINEST(Table2x4134144154166[CU3],Table2x4134144154166[RCR]^{1,2,3}),1)</f>
        <v>-3.1468531468531458E-2</v>
      </c>
      <c r="CU26">
        <f>INDEX(LINEST(Table2x4134144154166[CU4],Table2x4134144154166[RCR]^{1,2,3}),1)</f>
        <v>-6.4879564879565518E-2</v>
      </c>
      <c r="CV26">
        <f>INDEX(LINEST(Table2x4134144154166[CU5],Table2x4134144154166[RCR]^{1,2,3}),1)</f>
        <v>-9.0132090132090559E-2</v>
      </c>
      <c r="CW26">
        <f>INDEX(LINEST(Table2x4134144154166[CU6],Table2x4134144154166[RCR]^{1,2,3}),1)</f>
        <v>-3.4576534576534715E-2</v>
      </c>
      <c r="CX26">
        <f>INDEX(LINEST(Table2x4134144154166[CU7],Table2x4134144154166[RCR]^{1,2,3}),1)</f>
        <v>-5.497280497280517E-2</v>
      </c>
      <c r="CY26">
        <f>INDEX(LINEST(Table2x4134144154166[CU8],Table2x4134144154166[RCR]^{1,2,3}),1)</f>
        <v>-7.7505827505827921E-2</v>
      </c>
      <c r="CZ26">
        <f>INDEX(LINEST(Table2x4134144154166[CU9],Table2x4134144154166[RCR]^{1,2,3}),1)</f>
        <v>-2.7777777777778102E-2</v>
      </c>
      <c r="DA26">
        <f>INDEX(LINEST(Table2x4134144154166[CU10],Table2x4134144154166[RCR]^{1,2,3}),1)</f>
        <v>-4.6814296814297232E-2</v>
      </c>
      <c r="DB26">
        <f>INDEX(LINEST(Table2x4134144154166[CU11],Table2x4134144154166[RCR]^{1,2,3}),1)</f>
        <v>-6.4879564879565241E-2</v>
      </c>
      <c r="DC26">
        <f>INDEX(LINEST(Table2x4134144154166[CU12],Table2x4134144154166[RCR]^{1,2,3}),1)</f>
        <v>-3.1274281274281647E-2</v>
      </c>
      <c r="DD26">
        <f>INDEX(LINEST(Table2x4134144154166[CU13],Table2x4134144154166[RCR]^{1,2,3}),1)</f>
        <v>-3.9821289821289962E-2</v>
      </c>
      <c r="DE26">
        <f>INDEX(LINEST(Table2x4134144154166[CU14],Table2x4134144154166[RCR]^{1,2,3}),1)</f>
        <v>-5.2059052059052355E-2</v>
      </c>
    </row>
    <row r="27" spans="1:114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INDEX(LINEST(Table2x4134144154[CU],Table2x4134144154[RCR]^{1,2,3}),1,2)</f>
        <v>1.2307692307692373</v>
      </c>
      <c r="K27">
        <f>INDEX(LINEST(Table2x4134144154[CU1],Table2x4134144154[RCR]^{1,2,3}),1,2)</f>
        <v>1.8455710955710991</v>
      </c>
      <c r="L27">
        <f>INDEX(LINEST(Table2x4134144154[CU2],Table2x4134144154[RCR]^{1,2,3}),1,2)</f>
        <v>2.4096736596736665</v>
      </c>
      <c r="M27">
        <f>INDEX(LINEST(Table2x4134144154[CU3],Table2x4134144154[RCR]^{1,2,3}),1,2)</f>
        <v>1.1013986013986088</v>
      </c>
      <c r="N27">
        <f>INDEX(LINEST(Table2x4134144154[CU4],Table2x4134144154[RCR]^{1,2,3}),1,2)</f>
        <v>1.7680652680652769</v>
      </c>
      <c r="O27">
        <f>INDEX(LINEST(Table2x4134144154[CU5],Table2x4134144154[RCR]^{1,2,3}),1,2)</f>
        <v>2.3065268065268132</v>
      </c>
      <c r="P27">
        <f>INDEX(LINEST(Table2x4134144154[CU6],Table2x4134144154[RCR]^{1,2,3}),1,2)</f>
        <v>1.0431235431235482</v>
      </c>
      <c r="Q27">
        <f>INDEX(LINEST(Table2x4134144154[CU7],Table2x4134144154[RCR]^{1,2,3}),1,2)</f>
        <v>1.5145687645687689</v>
      </c>
      <c r="R27">
        <f>INDEX(LINEST(Table2x4134144154[CU8],Table2x4134144154[RCR]^{1,2,3}),1,2)</f>
        <v>1.999417249417252</v>
      </c>
      <c r="S27">
        <f>INDEX(LINEST(Table2x4134144154[CU9],Table2x4134144154[RCR]^{1,2,3}),1,2)</f>
        <v>0.90617715617715944</v>
      </c>
      <c r="T27">
        <f>INDEX(LINEST(Table2x4134144154[CU10],Table2x4134144154[RCR]^{1,2,3}),1,2)</f>
        <v>1.3205128205128291</v>
      </c>
      <c r="U27">
        <f>INDEX(LINEST(Table2x4134144154[CU11],Table2x4134144154[RCR]^{1,2,3}),1,2)</f>
        <v>1.6777389277389347</v>
      </c>
      <c r="V27">
        <f>INDEX(LINEST(Table2x4134144154[CU12],Table2x4134144154[RCR]^{1,2,3}),1,2)</f>
        <v>0.98776223776224314</v>
      </c>
      <c r="W27">
        <f>INDEX(LINEST(Table2x4134144154[CU13],Table2x4134144154[RCR]^{1,2,3}),1,2)</f>
        <v>1.1800699300699287</v>
      </c>
      <c r="X27">
        <f>INDEX(LINEST(Table2x4134144154[CU14],Table2x4134144154[RCR]^{1,2,3}),1,2)</f>
        <v>1.4184149184149266</v>
      </c>
      <c r="Z27" t="s">
        <v>219</v>
      </c>
      <c r="AA27">
        <f>INDEX(LINEST(Table2x2141151161[CU],Table2x2141151161[RCR]^{1,2,3}),1,2)</f>
        <v>1.0530303030303028</v>
      </c>
      <c r="AB27">
        <f>INDEX(LINEST(Table2x2141151161[CU1],Table2x2141151161[RCR]^{1,2,3}),1,2)</f>
        <v>1.7546620046620069</v>
      </c>
      <c r="AC27">
        <f>INDEX(LINEST(Table2x2141151161[CU2],Table2x2141151161[RCR]^{1,2,3}),1,2)</f>
        <v>2.4813519813519838</v>
      </c>
      <c r="AD27">
        <f>INDEX(LINEST(Table2x2141151161[CU3],Table2x2141151161[RCR]^{1,2,3}),1,2)</f>
        <v>1.1148018648018678</v>
      </c>
      <c r="AE27">
        <f>INDEX(LINEST(Table2x2141151161[CU4],Table2x2141151161[RCR]^{1,2,3}),1,2)</f>
        <v>1.5611888111888186</v>
      </c>
      <c r="AF27">
        <f>INDEX(LINEST(Table2x2141151161[CU5],Table2x2141151161[RCR]^{1,2,3}),1,2)</f>
        <v>2.2342657342657368</v>
      </c>
      <c r="AG27">
        <f>INDEX(LINEST(Table2x2141151161[CU6],Table2x2141151161[RCR]^{1,2,3}),1,2)</f>
        <v>1.0431235431235419</v>
      </c>
      <c r="AH27">
        <f>INDEX(LINEST(Table2x2141151161[CU7],Table2x2141151161[RCR]^{1,2,3}),1,2)</f>
        <v>1.5425407925407941</v>
      </c>
      <c r="AI27">
        <f>INDEX(LINEST(Table2x2141151161[CU8],Table2x2141151161[RCR]^{1,2,3}),1,2)</f>
        <v>1.9527972027972069</v>
      </c>
      <c r="AJ27">
        <f>INDEX(LINEST(Table2x2141151161[CU9],Table2x2141151161[RCR]^{1,2,3}),1,2)</f>
        <v>1.0174825174825206</v>
      </c>
      <c r="AK27">
        <f>INDEX(LINEST(Table2x2141151161[CU10],Table2x2141151161[RCR]^{1,2,3}),1,2)</f>
        <v>1.2890442890442928</v>
      </c>
      <c r="AL27">
        <f>INDEX(LINEST(Table2x2141151161[CU11],Table2x2141151161[RCR]^{1,2,3}),1,2)</f>
        <v>1.7272727272727308</v>
      </c>
      <c r="AM27">
        <f>INDEX(LINEST(Table2x2141151161[CU12],Table2x2141151161[RCR]^{1,2,3}),1,2)</f>
        <v>0.86829836829837181</v>
      </c>
      <c r="AN27">
        <f>INDEX(LINEST(Table2x2141151161[CU13],Table2x2141151161[RCR]^{1,2,3}),1,2)</f>
        <v>1.1998834498834554</v>
      </c>
      <c r="AO27">
        <f>INDEX(LINEST(Table2x2141151161[CU14],Table2x2141151161[RCR]^{1,2,3}),1,2)</f>
        <v>1.5029137529137575</v>
      </c>
      <c r="AQ27" t="s">
        <v>219</v>
      </c>
      <c r="AR27">
        <f>INDEX(LINEST(Table1x4143153163[CU],Table1x4143153163[RCR]^{1,2,3}),1,2)</f>
        <v>1.3368298368298395</v>
      </c>
      <c r="AS27">
        <f>INDEX(LINEST(Table1x4143153163[CU1],Table1x4143153163[RCR]^{1,2,3}),1,2)</f>
        <v>2.0273892773892843</v>
      </c>
      <c r="AT27">
        <f>INDEX(LINEST(Table1x4143153163[CU2],Table1x4143153163[RCR]^{1,2,3}),1,2)</f>
        <v>2.7051282051282168</v>
      </c>
      <c r="AU27">
        <f>INDEX(LINEST(Table1x4143153163[CU3],Table1x4143153163[RCR]^{1,2,3}),1,2)</f>
        <v>1.2803030303030358</v>
      </c>
      <c r="AV27">
        <f>INDEX(LINEST(Table1x4143153163[CU4],Table1x4143153163[RCR]^{1,2,3}),1,2)</f>
        <v>1.850815850815861</v>
      </c>
      <c r="AW27">
        <f>INDEX(LINEST(Table1x4143153163[CU5],Table1x4143153163[RCR]^{1,2,3}),1,2)</f>
        <v>2.3927738927739028</v>
      </c>
      <c r="AX27">
        <f>INDEX(LINEST(Table1x4143153163[CU6],Table1x4143153163[RCR]^{1,2,3}),1,2)</f>
        <v>1.1317016317016328</v>
      </c>
      <c r="AY27">
        <f>INDEX(LINEST(Table1x4143153163[CU7],Table1x4143153163[RCR]^{1,2,3}),1,2)</f>
        <v>1.6847319347319412</v>
      </c>
      <c r="AZ27">
        <f>INDEX(LINEST(Table1x4143153163[CU8],Table1x4143153163[RCR]^{1,2,3}),1,2)</f>
        <v>2.1451048951049043</v>
      </c>
      <c r="BA27">
        <f>INDEX(LINEST(Table1x4143153163[CU9],Table1x4143153163[RCR]^{1,2,3}),1,2)</f>
        <v>1.0763403263403297</v>
      </c>
      <c r="BB27">
        <f>INDEX(LINEST(Table1x4143153163[CU10],Table1x4143153163[RCR]^{1,2,3}),1,2)</f>
        <v>1.4883449883449922</v>
      </c>
      <c r="BC27">
        <f>INDEX(LINEST(Table1x4143153163[CU11],Table1x4143153163[RCR]^{1,2,3}),1,2)</f>
        <v>1.8566433566433602</v>
      </c>
      <c r="BD27">
        <f>INDEX(LINEST(Table1x4143153163[CU12],Table1x4143153163[RCR]^{1,2,3}),1,2)</f>
        <v>1.1451048951048992</v>
      </c>
      <c r="BE27">
        <f>INDEX(LINEST(Table1x4143153163[CU13],Table1x4143153163[RCR]^{1,2,3}),1,2)</f>
        <v>1.4114219114219122</v>
      </c>
      <c r="BF27">
        <f>INDEX(LINEST(Table1x4143153163[CU14],Table1x4143153163[RCR]^{1,2,3}),1,2)</f>
        <v>1.6322843822843893</v>
      </c>
      <c r="BH27" t="s">
        <v>219</v>
      </c>
      <c r="BI27">
        <f>INDEX(LINEST(Table2x4134144154164[CU],Table2x4134144154164[RCR]^{1,2,3}),1,2)</f>
        <v>1.3484848484848493</v>
      </c>
      <c r="BJ27">
        <f>INDEX(LINEST(Table2x4134144154164[CU1],Table2x4134144154164[RCR]^{1,2,3}),1,2)</f>
        <v>1.924825174825177</v>
      </c>
      <c r="BK27">
        <f>INDEX(LINEST(Table2x4134144154164[CU2],Table2x4134144154164[RCR]^{1,2,3}),1,2)</f>
        <v>2.514568764568768</v>
      </c>
      <c r="BL27">
        <f>INDEX(LINEST(Table2x4134144154164[CU3],Table2x4134144154164[RCR]^{1,2,3}),1,2)</f>
        <v>1.1491841491841532</v>
      </c>
      <c r="BM27">
        <f>INDEX(LINEST(Table2x4134144154164[CU4],Table2x4134144154164[RCR]^{1,2,3}),1,2)</f>
        <v>1.8624708624708648</v>
      </c>
      <c r="BN27">
        <f>INDEX(LINEST(Table2x4134144154164[CU5],Table2x4134144154164[RCR]^{1,2,3}),1,2)</f>
        <v>2.4114219114219146</v>
      </c>
      <c r="BO27">
        <f>INDEX(LINEST(Table2x4134144154164[CU6],Table2x4134144154164[RCR]^{1,2,3}),1,2)</f>
        <v>1.1993006993007003</v>
      </c>
      <c r="BP27">
        <f>INDEX(LINEST(Table2x4134144154164[CU7],Table2x4134144154164[RCR]^{1,2,3}),1,2)</f>
        <v>1.6194638694638706</v>
      </c>
      <c r="BQ27">
        <f>INDEX(LINEST(Table2x4134144154164[CU8],Table2x4134144154164[RCR]^{1,2,3}),1,2)</f>
        <v>2.1346153846153935</v>
      </c>
      <c r="BR27">
        <f>INDEX(LINEST(Table2x4134144154164[CU9],Table2x4134144154164[RCR]^{1,2,3}),1,2)</f>
        <v>0.99941724941725285</v>
      </c>
      <c r="BS27">
        <f>INDEX(LINEST(Table2x4134144154164[CU10],Table2x4134144154164[RCR]^{1,2,3}),1,2)</f>
        <v>1.4784382284382334</v>
      </c>
      <c r="BT27">
        <f>INDEX(LINEST(Table2x4134144154164[CU11],Table2x4134144154164[RCR]^{1,2,3}),1,2)</f>
        <v>1.86713286713287</v>
      </c>
      <c r="BU27">
        <f>INDEX(LINEST(Table2x4134144154164[CU12],Table2x4134144154164[RCR]^{1,2,3}),1,2)</f>
        <v>1.0168997668997684</v>
      </c>
      <c r="BV27">
        <f>INDEX(LINEST(Table2x4134144154164[CU13],Table2x4134144154164[RCR]^{1,2,3}),1,2)</f>
        <v>1.2744755244755264</v>
      </c>
      <c r="BW27">
        <f>INDEX(LINEST(Table2x4134144154164[CU14],Table2x4134144154164[RCR]^{1,2,3}),1,2)</f>
        <v>1.6107226107226136</v>
      </c>
      <c r="BY27" t="s">
        <v>219</v>
      </c>
      <c r="BZ27">
        <f t="array" ref="BZ27">INDEX(LINEST(Table2x4134144154165[CU],Table2x4134144154165[RCR]^{1,2,3}),1,2)</f>
        <v>1.1579254079254149</v>
      </c>
      <c r="CA27">
        <f>INDEX(LINEST(Table2x4134144154165[CU1],Table2x4134144154165[RCR]^{1,2,3}),1,2)</f>
        <v>1.9335664335664364</v>
      </c>
      <c r="CB27">
        <f>INDEX(LINEST(Table2x4134144154165[CU2],Table2x4134144154165[RCR]^{1,2,3}),1,2)</f>
        <v>2.5675990675990747</v>
      </c>
      <c r="CC27">
        <f>INDEX(LINEST(Table2x4134144154165[CU3],Table2x4134144154165[RCR]^{1,2,3}),1,2)</f>
        <v>1.2336829836829917</v>
      </c>
      <c r="CD27">
        <f>INDEX(LINEST(Table2x4134144154165[CU4],Table2x4134144154165[RCR]^{1,2,3}),1,2)</f>
        <v>1.8170163170163238</v>
      </c>
      <c r="CE27">
        <f>INDEX(LINEST(Table2x4134144154165[CU5],Table2x4134144154165[RCR]^{1,2,3}),1,2)</f>
        <v>2.2902097902097949</v>
      </c>
      <c r="CF27">
        <f>INDEX(LINEST(Table2x4134144154165[CU6],Table2x4134144154165[RCR]^{1,2,3}),1,2)</f>
        <v>1.1480186480186541</v>
      </c>
      <c r="CG27">
        <f>INDEX(LINEST(Table2x4134144154165[CU7],Table2x4134144154165[RCR]^{1,2,3}),1,2)</f>
        <v>1.6171328671328673</v>
      </c>
      <c r="CH27">
        <f>INDEX(LINEST(Table2x4134144154165[CU8],Table2x4134144154165[RCR]^{1,2,3}),1,2)</f>
        <v>2.1229603729603772</v>
      </c>
      <c r="CI27">
        <f>INDEX(LINEST(Table2x4134144154165[CU9],Table2x4134144154165[RCR]^{1,2,3}),1,2)</f>
        <v>1.1118881118881139</v>
      </c>
      <c r="CJ27">
        <f>INDEX(LINEST(Table2x4134144154165[CU10],Table2x4134144154165[RCR]^{1,2,3}),1,2)</f>
        <v>1.4592074592074624</v>
      </c>
      <c r="CK27">
        <f>INDEX(LINEST(Table2x4134144154165[CU11],Table2x4134144154165[RCR]^{1,2,3}),1,2)</f>
        <v>1.7913752913752994</v>
      </c>
      <c r="CL27">
        <f>INDEX(LINEST(Table2x4134144154165[CU12],Table2x4134144154165[RCR]^{1,2,3}),1,2)</f>
        <v>0.97319347319347393</v>
      </c>
      <c r="CM27">
        <f>INDEX(LINEST(Table2x4134144154165[CU13],Table2x4134144154165[RCR]^{1,2,3}),1,2)</f>
        <v>1.3047785547785606</v>
      </c>
      <c r="CN27">
        <f>INDEX(LINEST(Table2x4134144154165[CU14],Table2x4134144154165[RCR]^{1,2,3}),1,2)</f>
        <v>1.6590909090909134</v>
      </c>
      <c r="CP27" t="s">
        <v>219</v>
      </c>
      <c r="CQ27">
        <f t="array" ref="CQ27">INDEX(LINEST(Table2x4134144154166[CU],Table2x4134144154166[RCR]^{1,2,3}),1,2)</f>
        <v>1.2937062937062997</v>
      </c>
      <c r="CR27">
        <f>INDEX(LINEST(Table2x4134144154166[CU1],Table2x4134144154166[RCR]^{1,2,3}),1,2)</f>
        <v>1.8956876456876555</v>
      </c>
      <c r="CS27">
        <f>INDEX(LINEST(Table2x4134144154166[CU2],Table2x4134144154166[RCR]^{1,2,3}),1,2)</f>
        <v>2.4201631701631716</v>
      </c>
      <c r="CT27">
        <f>INDEX(LINEST(Table2x4134144154166[CU3],Table2x4134144154166[RCR]^{1,2,3}),1,2)</f>
        <v>1.0897435897435883</v>
      </c>
      <c r="CU27">
        <f>INDEX(LINEST(Table2x4134144154166[CU4],Table2x4134144154166[RCR]^{1,2,3}),1,2)</f>
        <v>1.7680652680652769</v>
      </c>
      <c r="CV27">
        <f>INDEX(LINEST(Table2x4134144154166[CU5],Table2x4134144154166[RCR]^{1,2,3}),1,2)</f>
        <v>2.3065268065268132</v>
      </c>
      <c r="CW27">
        <f>INDEX(LINEST(Table2x4134144154166[CU6],Table2x4134144154166[RCR]^{1,2,3}),1,2)</f>
        <v>1.1060606060606073</v>
      </c>
      <c r="CX27">
        <f>INDEX(LINEST(Table2x4134144154166[CU7],Table2x4134144154166[RCR]^{1,2,3}),1,2)</f>
        <v>1.5798368298368317</v>
      </c>
      <c r="CY27">
        <f>INDEX(LINEST(Table2x4134144154166[CU8],Table2x4134144154166[RCR]^{1,2,3}),1,2)</f>
        <v>2.0297202797202853</v>
      </c>
      <c r="CZ27">
        <f>INDEX(LINEST(Table2x4134144154166[CU9],Table2x4134144154166[RCR]^{1,2,3}),1,2)</f>
        <v>0.97144522144522616</v>
      </c>
      <c r="DA27">
        <f>INDEX(LINEST(Table2x4134144154166[CU10],Table2x4134144154166[RCR]^{1,2,3}),1,2)</f>
        <v>1.3840326340326403</v>
      </c>
      <c r="DB27">
        <f>INDEX(LINEST(Table2x4134144154166[CU11],Table2x4134144154166[RCR]^{1,2,3}),1,2)</f>
        <v>1.7622377622377672</v>
      </c>
      <c r="DC27">
        <f>INDEX(LINEST(Table2x4134144154166[CU12],Table2x4134144154166[RCR]^{1,2,3}),1,2)</f>
        <v>0.98776223776224314</v>
      </c>
      <c r="DD27">
        <f>INDEX(LINEST(Table2x4134144154166[CU13],Table2x4134144154166[RCR]^{1,2,3}),1,2)</f>
        <v>1.210372960372962</v>
      </c>
      <c r="DE27">
        <f>INDEX(LINEST(Table2x4134144154166[CU14],Table2x4134144154166[RCR]^{1,2,3}),1,2)</f>
        <v>1.5163170163170201</v>
      </c>
    </row>
    <row r="28" spans="1:114" x14ac:dyDescent="0.25">
      <c r="C28" s="3"/>
      <c r="H28" s="5"/>
      <c r="I28" t="s">
        <v>220</v>
      </c>
      <c r="J28">
        <f t="array" ref="J28">INDEX(LINEST(Table2x4134144154[CU],Table2x4134144154[RCR]^{1,2,3}),1,3)</f>
        <v>-16.275446775446799</v>
      </c>
      <c r="K28">
        <f>INDEX(LINEST(Table2x4134144154[CU1],Table2x4134144154[RCR]^{1,2,3}),1,3)</f>
        <v>-20.463869463869468</v>
      </c>
      <c r="L28">
        <f>INDEX(LINEST(Table2x4134144154[CU2],Table2x4134144154[RCR]^{1,2,3}),1,3)</f>
        <v>-23.91724941724944</v>
      </c>
      <c r="M28">
        <f>INDEX(LINEST(Table2x4134144154[CU3],Table2x4134144154[RCR]^{1,2,3}),1,3)</f>
        <v>-15.475524475524503</v>
      </c>
      <c r="N28">
        <f>INDEX(LINEST(Table2x4134144154[CU4],Table2x4134144154[RCR]^{1,2,3}),1,3)</f>
        <v>-19.605283605283635</v>
      </c>
      <c r="O28">
        <f>INDEX(LINEST(Table2x4134144154[CU5],Table2x4134144154[RCR]^{1,2,3}),1,3)</f>
        <v>-22.964646464646489</v>
      </c>
      <c r="P28">
        <f>INDEX(LINEST(Table2x4134144154[CU6],Table2x4134144154[RCR]^{1,2,3}),1,3)</f>
        <v>-14.628205128205146</v>
      </c>
      <c r="Q28">
        <f>INDEX(LINEST(Table2x4134144154[CU7],Table2x4134144154[RCR]^{1,2,3}),1,3)</f>
        <v>-17.995337995338009</v>
      </c>
      <c r="R28">
        <f>INDEX(LINEST(Table2x4134144154[CU8],Table2x4134144154[RCR]^{1,2,3}),1,3)</f>
        <v>-20.917637917637915</v>
      </c>
      <c r="S28">
        <f>INDEX(LINEST(Table2x4134144154[CU9],Table2x4134144154[RCR]^{1,2,3}),1,3)</f>
        <v>-13.526029526029536</v>
      </c>
      <c r="T28">
        <f>INDEX(LINEST(Table2x4134144154[CU10],Table2x4134144154[RCR]^{1,2,3}),1,3)</f>
        <v>-16.466588966588997</v>
      </c>
      <c r="U28">
        <f>INDEX(LINEST(Table2x4134144154[CU11],Table2x4134144154[RCR]^{1,2,3}),1,3)</f>
        <v>-18.779331779331805</v>
      </c>
      <c r="V28">
        <f>INDEX(LINEST(Table2x4134144154[CU12],Table2x4134144154[RCR]^{1,2,3}),1,3)</f>
        <v>-13.257187257187278</v>
      </c>
      <c r="W28">
        <f>INDEX(LINEST(Table2x4134144154[CU13],Table2x4134144154[RCR]^{1,2,3}),1,3)</f>
        <v>-15.184926184926175</v>
      </c>
      <c r="X28">
        <f>INDEX(LINEST(Table2x4134144154[CU14],Table2x4134144154[RCR]^{1,2,3}),1,3)</f>
        <v>-17.184149184149213</v>
      </c>
      <c r="Z28" t="s">
        <v>220</v>
      </c>
      <c r="AA28">
        <f>INDEX(LINEST(Table2x2141151161[CU],Table2x2141151161[RCR]^{1,2,3}),1,3)</f>
        <v>-15.570707070707066</v>
      </c>
      <c r="AB28">
        <f>INDEX(LINEST(Table2x2141151161[CU1],Table2x2141151161[RCR]^{1,2,3}),1,3)</f>
        <v>-20.050116550116549</v>
      </c>
      <c r="AC28">
        <f>INDEX(LINEST(Table2x2141151161[CU2],Table2x2141151161[RCR]^{1,2,3}),1,3)</f>
        <v>-24.011266511266506</v>
      </c>
      <c r="AD28">
        <f>INDEX(LINEST(Table2x2141151161[CU3],Table2x2141151161[RCR]^{1,2,3}),1,3)</f>
        <v>-15.339160839160845</v>
      </c>
      <c r="AE28">
        <f>INDEX(LINEST(Table2x2141151161[CU4],Table2x2141151161[RCR]^{1,2,3}),1,3)</f>
        <v>-18.888500388500415</v>
      </c>
      <c r="AF28">
        <f>INDEX(LINEST(Table2x2141151161[CU5],Table2x2141151161[RCR]^{1,2,3}),1,3)</f>
        <v>-22.574980574980575</v>
      </c>
      <c r="AG28">
        <f>INDEX(LINEST(Table2x2141151161[CU6],Table2x2141151161[RCR]^{1,2,3}),1,3)</f>
        <v>-14.46581196581195</v>
      </c>
      <c r="AH28">
        <f>INDEX(LINEST(Table2x2141151161[CU7],Table2x2141151161[RCR]^{1,2,3}),1,3)</f>
        <v>-17.851204351204352</v>
      </c>
      <c r="AI28">
        <f>INDEX(LINEST(Table2x2141151161[CU8],Table2x2141151161[RCR]^{1,2,3}),1,3)</f>
        <v>-20.613830613830622</v>
      </c>
      <c r="AJ28">
        <f>INDEX(LINEST(Table2x2141151161[CU9],Table2x2141151161[RCR]^{1,2,3}),1,3)</f>
        <v>-13.78243978243979</v>
      </c>
      <c r="AK28">
        <f>INDEX(LINEST(Table2x2141151161[CU10],Table2x2141151161[RCR]^{1,2,3}),1,3)</f>
        <v>-16.241258741258751</v>
      </c>
      <c r="AL28">
        <f>INDEX(LINEST(Table2x2141151161[CU11],Table2x2141151161[RCR]^{1,2,3}),1,3)</f>
        <v>-18.859751359751368</v>
      </c>
      <c r="AM28">
        <f>INDEX(LINEST(Table2x2141151161[CU12],Table2x2141151161[RCR]^{1,2,3}),1,3)</f>
        <v>-12.802253302253311</v>
      </c>
      <c r="AN28">
        <f>INDEX(LINEST(Table2x2141151161[CU13],Table2x2141151161[RCR]^{1,2,3}),1,3)</f>
        <v>-15.266122766122777</v>
      </c>
      <c r="AO28">
        <f>INDEX(LINEST(Table2x2141151161[CU14],Table2x2141151161[RCR]^{1,2,3}),1,3)</f>
        <v>-17.289432789432805</v>
      </c>
      <c r="AQ28" t="s">
        <v>220</v>
      </c>
      <c r="AR28">
        <f>INDEX(LINEST(Table1x4143153163[CU],Table1x4143153163[RCR]^{1,2,3}),1,3)</f>
        <v>-16.985236985236988</v>
      </c>
      <c r="AS28">
        <f>INDEX(LINEST(Table1x4143153163[CU1],Table1x4143153163[RCR]^{1,2,3}),1,3)</f>
        <v>-21.362859362859382</v>
      </c>
      <c r="AT28">
        <f>INDEX(LINEST(Table1x4143153163[CU2],Table1x4143153163[RCR]^{1,2,3}),1,3)</f>
        <v>-25.258352758352796</v>
      </c>
      <c r="AU28">
        <f>INDEX(LINEST(Table1x4143153163[CU3],Table1x4143153163[RCR]^{1,2,3}),1,3)</f>
        <v>-16.336441336441357</v>
      </c>
      <c r="AV28">
        <f>INDEX(LINEST(Table1x4143153163[CU4],Table1x4143153163[RCR]^{1,2,3}),1,3)</f>
        <v>-20.244366744366783</v>
      </c>
      <c r="AW28">
        <f>INDEX(LINEST(Table1x4143153163[CU5],Table1x4143153163[RCR]^{1,2,3}),1,3)</f>
        <v>-23.593240093240123</v>
      </c>
      <c r="AX28">
        <f>INDEX(LINEST(Table1x4143153163[CU6],Table1x4143153163[RCR]^{1,2,3}),1,3)</f>
        <v>-15.280108780108774</v>
      </c>
      <c r="AY28">
        <f>INDEX(LINEST(Table1x4143153163[CU7],Table1x4143153163[RCR]^{1,2,3}),1,3)</f>
        <v>-18.7777777777778</v>
      </c>
      <c r="AZ28">
        <f>INDEX(LINEST(Table1x4143153163[CU8],Table1x4143153163[RCR]^{1,2,3}),1,3)</f>
        <v>-21.762237762237795</v>
      </c>
      <c r="BA28">
        <f>INDEX(LINEST(Table1x4143153163[CU9],Table1x4143153163[RCR]^{1,2,3}),1,3)</f>
        <v>-14.308469308469318</v>
      </c>
      <c r="BB28">
        <f>INDEX(LINEST(Table1x4143153163[CU10],Table1x4143153163[RCR]^{1,2,3}),1,3)</f>
        <v>-17.388111888111894</v>
      </c>
      <c r="BC28">
        <f>INDEX(LINEST(Table1x4143153163[CU11],Table1x4143153163[RCR]^{1,2,3}),1,3)</f>
        <v>-19.802641802641809</v>
      </c>
      <c r="BD28">
        <f>INDEX(LINEST(Table1x4143153163[CU12],Table1x4143153163[RCR]^{1,2,3}),1,3)</f>
        <v>-14.218337218337229</v>
      </c>
      <c r="BE28">
        <f>INDEX(LINEST(Table1x4143153163[CU13],Table1x4143153163[RCR]^{1,2,3}),1,3)</f>
        <v>-16.453379953379947</v>
      </c>
      <c r="BF28">
        <f>INDEX(LINEST(Table1x4143153163[CU14],Table1x4143153163[RCR]^{1,2,3}),1,3)</f>
        <v>-18.232323232323253</v>
      </c>
      <c r="BH28" t="s">
        <v>220</v>
      </c>
      <c r="BI28">
        <f>INDEX(LINEST(Table2x4134144154164[CU],Table2x4134144154164[RCR]^{1,2,3}),1,3)</f>
        <v>-16.911810411810404</v>
      </c>
      <c r="BJ28">
        <f>INDEX(LINEST(Table2x4134144154164[CU1],Table2x4134144154164[RCR]^{1,2,3}),1,3)</f>
        <v>-20.994949494949495</v>
      </c>
      <c r="BK28">
        <f>INDEX(LINEST(Table2x4134144154164[CU2],Table2x4134144154164[RCR]^{1,2,3}),1,3)</f>
        <v>-24.470862470862471</v>
      </c>
      <c r="BL28">
        <f>INDEX(LINEST(Table2x4134144154164[CU3],Table2x4134144154164[RCR]^{1,2,3}),1,3)</f>
        <v>-15.764957264957275</v>
      </c>
      <c r="BM28">
        <f>INDEX(LINEST(Table2x4134144154164[CU4],Table2x4134144154164[RCR]^{1,2,3}),1,3)</f>
        <v>-20.198523698523697</v>
      </c>
      <c r="BN28">
        <f>INDEX(LINEST(Table2x4134144154164[CU5],Table2x4134144154164[RCR]^{1,2,3}),1,3)</f>
        <v>-23.518259518259519</v>
      </c>
      <c r="BO28">
        <f>INDEX(LINEST(Table2x4134144154164[CU6],Table2x4134144154164[RCR]^{1,2,3}),1,3)</f>
        <v>-15.270784770784765</v>
      </c>
      <c r="BP28">
        <f>INDEX(LINEST(Table2x4134144154164[CU7],Table2x4134144154164[RCR]^{1,2,3}),1,3)</f>
        <v>-18.548951048951043</v>
      </c>
      <c r="BQ28">
        <f>INDEX(LINEST(Table2x4134144154164[CU8],Table2x4134144154164[RCR]^{1,2,3}),1,3)</f>
        <v>-21.512820512820547</v>
      </c>
      <c r="BR28">
        <f>INDEX(LINEST(Table2x4134144154164[CU9],Table2x4134144154164[RCR]^{1,2,3}),1,3)</f>
        <v>-13.963092463092472</v>
      </c>
      <c r="BS28">
        <f>INDEX(LINEST(Table2x4134144154164[CU10],Table2x4134144154164[RCR]^{1,2,3}),1,3)</f>
        <v>-17.189199689199704</v>
      </c>
      <c r="BT28">
        <f>INDEX(LINEST(Table2x4134144154164[CU11],Table2x4134144154164[RCR]^{1,2,3}),1,3)</f>
        <v>-19.600621600621601</v>
      </c>
      <c r="BU28">
        <f>INDEX(LINEST(Table2x4134144154164[CU12],Table2x4134144154164[RCR]^{1,2,3}),1,3)</f>
        <v>-13.621600621600624</v>
      </c>
      <c r="BV28">
        <f>INDEX(LINEST(Table2x4134144154164[CU13],Table2x4134144154164[RCR]^{1,2,3}),1,3)</f>
        <v>-15.77816627816628</v>
      </c>
      <c r="BW28">
        <f>INDEX(LINEST(Table2x4134144154164[CU14],Table2x4134144154164[RCR]^{1,2,3}),1,3)</f>
        <v>-18.043512043512045</v>
      </c>
      <c r="BY28" t="s">
        <v>220</v>
      </c>
      <c r="BZ28">
        <f t="array" ref="BZ28">INDEX(LINEST(Table2x4134144154165[CU],Table2x4134144154165[RCR]^{1,2,3}),1,3)</f>
        <v>-16.12432012432015</v>
      </c>
      <c r="CA28">
        <f>INDEX(LINEST(Table2x4134144154165[CU1],Table2x4134144154165[RCR]^{1,2,3}),1,3)</f>
        <v>-20.911033411033412</v>
      </c>
      <c r="CB28">
        <f>INDEX(LINEST(Table2x4134144154165[CU2],Table2x4134144154165[RCR]^{1,2,3}),1,3)</f>
        <v>-24.639860139860158</v>
      </c>
      <c r="CC28">
        <f>INDEX(LINEST(Table2x4134144154165[CU3],Table2x4134144154165[RCR]^{1,2,3}),1,3)</f>
        <v>-16.032634032634064</v>
      </c>
      <c r="CD28">
        <f>INDEX(LINEST(Table2x4134144154165[CU4],Table2x4134144154165[RCR]^{1,2,3}),1,3)</f>
        <v>-20.094794094794121</v>
      </c>
      <c r="CE28">
        <f>INDEX(LINEST(Table2x4134144154165[CU5],Table2x4134144154165[RCR]^{1,2,3}),1,3)</f>
        <v>-23.06293706293707</v>
      </c>
      <c r="CF28">
        <f>INDEX(LINEST(Table2x4134144154165[CU6],Table2x4134144154165[RCR]^{1,2,3}),1,3)</f>
        <v>-15.019425019425043</v>
      </c>
      <c r="CG28">
        <f>INDEX(LINEST(Table2x4134144154165[CU7],Table2x4134144154165[RCR]^{1,2,3}),1,3)</f>
        <v>-18.363247863247857</v>
      </c>
      <c r="CH28">
        <f>INDEX(LINEST(Table2x4134144154165[CU8],Table2x4134144154165[RCR]^{1,2,3}),1,3)</f>
        <v>-21.396270396270406</v>
      </c>
      <c r="CI28">
        <f>INDEX(LINEST(Table2x4134144154165[CU9],Table2x4134144154165[RCR]^{1,2,3}),1,3)</f>
        <v>-14.375679875679875</v>
      </c>
      <c r="CJ28">
        <f>INDEX(LINEST(Table2x4134144154165[CU10],Table2x4134144154165[RCR]^{1,2,3}),1,3)</f>
        <v>-17.023698523698528</v>
      </c>
      <c r="CK28">
        <f>INDEX(LINEST(Table2x4134144154165[CU11],Table2x4134144154165[RCR]^{1,2,3}),1,3)</f>
        <v>-19.411421911421936</v>
      </c>
      <c r="CL28">
        <f>INDEX(LINEST(Table2x4134144154165[CU12],Table2x4134144154165[RCR]^{1,2,3}),1,3)</f>
        <v>-13.355866355866352</v>
      </c>
      <c r="CM28">
        <f>INDEX(LINEST(Table2x4134144154165[CU13],Table2x4134144154165[RCR]^{1,2,3}),1,3)</f>
        <v>-15.819735819735842</v>
      </c>
      <c r="CN28">
        <f>INDEX(LINEST(Table2x4134144154165[CU14],Table2x4134144154165[RCR]^{1,2,3}),1,3)</f>
        <v>-18.094405594405604</v>
      </c>
      <c r="CP28" t="s">
        <v>220</v>
      </c>
      <c r="CQ28">
        <f t="array" ref="CQ28">INDEX(LINEST(Table2x4134144154166[CU],Table2x4134144154166[RCR]^{1,2,3}),1,3)</f>
        <v>-16.480963480963499</v>
      </c>
      <c r="CR28">
        <f>INDEX(LINEST(Table2x4134144154166[CU1],Table2x4134144154166[RCR]^{1,2,3}),1,3)</f>
        <v>-20.630536130536168</v>
      </c>
      <c r="CS28">
        <f>INDEX(LINEST(Table2x4134144154166[CU2],Table2x4134144154166[RCR]^{1,2,3}),1,3)</f>
        <v>-23.877622377622369</v>
      </c>
      <c r="CT28">
        <f>INDEX(LINEST(Table2x4134144154166[CU3],Table2x4134144154166[RCR]^{1,2,3}),1,3)</f>
        <v>-15.358974358974343</v>
      </c>
      <c r="CU28">
        <f>INDEX(LINEST(Table2x4134144154166[CU4],Table2x4134144154166[RCR]^{1,2,3}),1,3)</f>
        <v>-19.605283605283635</v>
      </c>
      <c r="CV28">
        <f>INDEX(LINEST(Table2x4134144154166[CU5],Table2x4134144154166[RCR]^{1,2,3}),1,3)</f>
        <v>-22.964646464646489</v>
      </c>
      <c r="CW28">
        <f>INDEX(LINEST(Table2x4134144154166[CU6],Table2x4134144154166[RCR]^{1,2,3}),1,3)</f>
        <v>-14.83372183372183</v>
      </c>
      <c r="CX28">
        <f>INDEX(LINEST(Table2x4134144154166[CU7],Table2x4134144154166[RCR]^{1,2,3}),1,3)</f>
        <v>-18.224164724164723</v>
      </c>
      <c r="CY28">
        <f>INDEX(LINEST(Table2x4134144154166[CU8],Table2x4134144154166[RCR]^{1,2,3}),1,3)</f>
        <v>-20.959207459207473</v>
      </c>
      <c r="CZ28">
        <f>INDEX(LINEST(Table2x4134144154166[CU9],Table2x4134144154166[RCR]^{1,2,3}),1,3)</f>
        <v>-13.75485625485627</v>
      </c>
      <c r="DA28">
        <f>INDEX(LINEST(Table2x4134144154166[CU10],Table2x4134144154166[RCR]^{1,2,3}),1,3)</f>
        <v>-16.595959595959616</v>
      </c>
      <c r="DB28">
        <f>INDEX(LINEST(Table2x4134144154166[CU11],Table2x4134144154166[RCR]^{1,2,3}),1,3)</f>
        <v>-19.047008547008563</v>
      </c>
      <c r="DC28">
        <f>INDEX(LINEST(Table2x4134144154166[CU12],Table2x4134144154166[RCR]^{1,2,3}),1,3)</f>
        <v>-13.257187257187278</v>
      </c>
      <c r="DD28">
        <f>INDEX(LINEST(Table2x4134144154166[CU13],Table2x4134144154166[RCR]^{1,2,3}),1,3)</f>
        <v>-15.226495726495727</v>
      </c>
      <c r="DE28">
        <f>INDEX(LINEST(Table2x4134144154166[CU14],Table2x4134144154166[RCR]^{1,2,3}),1,3)</f>
        <v>-17.450271950271954</v>
      </c>
    </row>
    <row r="29" spans="1:114" x14ac:dyDescent="0.25">
      <c r="C29" s="3"/>
      <c r="H29" s="5"/>
      <c r="I29" t="s">
        <v>221</v>
      </c>
      <c r="J29">
        <f>INDEX(LINEST(Table2x4134144154[CU],Table2x4134144154[RCR]^{1,2,3}),1,4)</f>
        <v>118.99999999999999</v>
      </c>
      <c r="K29">
        <f>INDEX(LINEST(Table2x4134144154[CU1],Table2x4134144154[RCR]^{1,2,3}),1,4)</f>
        <v>118.88111888111885</v>
      </c>
      <c r="L29">
        <f>INDEX(LINEST(Table2x4134144154[CU2],Table2x4134144154[RCR]^{1,2,3}),1,4)</f>
        <v>118.68531468531467</v>
      </c>
      <c r="M29">
        <f>INDEX(LINEST(Table2x4134144154[CU3],Table2x4134144154[RCR]^{1,2,3}),1,4)</f>
        <v>116.11888111888112</v>
      </c>
      <c r="N29">
        <f>INDEX(LINEST(Table2x4134144154[CU4],Table2x4134144154[RCR]^{1,2,3}),1,4)</f>
        <v>115.89510489510488</v>
      </c>
      <c r="O29">
        <f>INDEX(LINEST(Table2x4134144154[CU5],Table2x4134144154[RCR]^{1,2,3}),1,4)</f>
        <v>115.79020979020979</v>
      </c>
      <c r="P29">
        <f>INDEX(LINEST(Table2x4134144154[CU6],Table2x4134144154[RCR]^{1,2,3}),1,4)</f>
        <v>111.23776223776224</v>
      </c>
      <c r="Q29">
        <f>INDEX(LINEST(Table2x4134144154[CU7],Table2x4134144154[RCR]^{1,2,3}),1,4)</f>
        <v>111.18181818181819</v>
      </c>
      <c r="R29">
        <f>INDEX(LINEST(Table2x4134144154[CU8],Table2x4134144154[RCR]^{1,2,3}),1,4)</f>
        <v>110.90209790209785</v>
      </c>
      <c r="S29">
        <f>INDEX(LINEST(Table2x4134144154[CU9],Table2x4134144154[RCR]^{1,2,3}),1,4)</f>
        <v>106.28671328671327</v>
      </c>
      <c r="T29">
        <f>INDEX(LINEST(Table2x4134144154[CU10],Table2x4134144154[RCR]^{1,2,3}),1,4)</f>
        <v>106.32167832167833</v>
      </c>
      <c r="U29">
        <f>INDEX(LINEST(Table2x4134144154[CU11],Table2x4134144154[RCR]^{1,2,3}),1,4)</f>
        <v>105.92307692307696</v>
      </c>
      <c r="V29">
        <f>INDEX(LINEST(Table2x4134144154[CU12],Table2x4134144154[RCR]^{1,2,3}),1,4)</f>
        <v>102.04195804195805</v>
      </c>
      <c r="W29">
        <f>INDEX(LINEST(Table2x4134144154[CU13],Table2x4134144154[RCR]^{1,2,3}),1,4)</f>
        <v>102.00699300699299</v>
      </c>
      <c r="X29">
        <f>INDEX(LINEST(Table2x4134144154[CU14],Table2x4134144154[RCR]^{1,2,3}),1,4)</f>
        <v>102.23076923076923</v>
      </c>
      <c r="Z29" t="s">
        <v>221</v>
      </c>
      <c r="AA29">
        <f>INDEX(LINEST(Table2x2141151161[CU],Table2x2141151161[RCR]^{1,2,3}),1,4)</f>
        <v>119.18181818181819</v>
      </c>
      <c r="AB29">
        <f>INDEX(LINEST(Table2x2141151161[CU1],Table2x2141151161[RCR]^{1,2,3}),1,4)</f>
        <v>119.02797202797201</v>
      </c>
      <c r="AC29">
        <f>INDEX(LINEST(Table2x2141151161[CU2],Table2x2141151161[RCR]^{1,2,3}),1,4)</f>
        <v>118.65034965034963</v>
      </c>
      <c r="AD29">
        <f>INDEX(LINEST(Table2x2141151161[CU3],Table2x2141151161[RCR]^{1,2,3}),1,4)</f>
        <v>116.13286713286712</v>
      </c>
      <c r="AE29">
        <f>INDEX(LINEST(Table2x2141151161[CU4],Table2x2141151161[RCR]^{1,2,3}),1,4)</f>
        <v>116.09090909090908</v>
      </c>
      <c r="AF29">
        <f>INDEX(LINEST(Table2x2141151161[CU5],Table2x2141151161[RCR]^{1,2,3}),1,4)</f>
        <v>115.65034965034961</v>
      </c>
      <c r="AG29">
        <f>INDEX(LINEST(Table2x2141151161[CU6],Table2x2141151161[RCR]^{1,2,3}),1,4)</f>
        <v>111.12587412587409</v>
      </c>
      <c r="AH29">
        <f>INDEX(LINEST(Table2x2141151161[CU7],Table2x2141151161[RCR]^{1,2,3}),1,4)</f>
        <v>111.11188811188809</v>
      </c>
      <c r="AI29">
        <f>INDEX(LINEST(Table2x2141151161[CU8],Table2x2141151161[RCR]^{1,2,3}),1,4)</f>
        <v>110.86013986013984</v>
      </c>
      <c r="AJ29">
        <f>INDEX(LINEST(Table2x2141151161[CU9],Table2x2141151161[RCR]^{1,2,3}),1,4)</f>
        <v>106.34965034965036</v>
      </c>
      <c r="AK29">
        <f>INDEX(LINEST(Table2x2141151161[CU10],Table2x2141151161[RCR]^{1,2,3}),1,4)</f>
        <v>106.39860139860137</v>
      </c>
      <c r="AL29">
        <f>INDEX(LINEST(Table2x2141151161[CU11],Table2x2141151161[RCR]^{1,2,3}),1,4)</f>
        <v>106.07692307692305</v>
      </c>
      <c r="AM29">
        <f>INDEX(LINEST(Table2x2141151161[CU12],Table2x2141151161[RCR]^{1,2,3}),1,4)</f>
        <v>102.33566433566433</v>
      </c>
      <c r="AN29">
        <f>INDEX(LINEST(Table2x2141151161[CU13],Table2x2141151161[RCR]^{1,2,3}),1,4)</f>
        <v>102.32867132867132</v>
      </c>
      <c r="AO29">
        <f>INDEX(LINEST(Table2x2141151161[CU14],Table2x2141151161[RCR]^{1,2,3}),1,4)</f>
        <v>102.23076923076923</v>
      </c>
      <c r="AQ29" t="s">
        <v>221</v>
      </c>
      <c r="AR29">
        <f>INDEX(LINEST(Table1x4143153163[CU],Table1x4143153163[RCR]^{1,2,3}),1,4)</f>
        <v>119.20979020979019</v>
      </c>
      <c r="AS29">
        <f>INDEX(LINEST(Table1x4143153163[CU1],Table1x4143153163[RCR]^{1,2,3}),1,4)</f>
        <v>118.69930069930069</v>
      </c>
      <c r="AT29">
        <f>INDEX(LINEST(Table1x4143153163[CU2],Table1x4143153163[RCR]^{1,2,3}),1,4)</f>
        <v>118.62237762237763</v>
      </c>
      <c r="AU29">
        <f>INDEX(LINEST(Table1x4143153163[CU3],Table1x4143153163[RCR]^{1,2,3}),1,4)</f>
        <v>115.99300699300701</v>
      </c>
      <c r="AV29">
        <f>INDEX(LINEST(Table1x4143153163[CU4],Table1x4143153163[RCR]^{1,2,3}),1,4)</f>
        <v>116.04895104895107</v>
      </c>
      <c r="AW29">
        <f>INDEX(LINEST(Table1x4143153163[CU5],Table1x4143153163[RCR]^{1,2,3}),1,4)</f>
        <v>115.67832167832169</v>
      </c>
      <c r="AX29">
        <f>INDEX(LINEST(Table1x4143153163[CU6],Table1x4143153163[RCR]^{1,2,3}),1,4)</f>
        <v>111.06993006993001</v>
      </c>
      <c r="AY29">
        <f>INDEX(LINEST(Table1x4143153163[CU7],Table1x4143153163[RCR]^{1,2,3}),1,4)</f>
        <v>110.91608391608392</v>
      </c>
      <c r="AZ29">
        <f>INDEX(LINEST(Table1x4143153163[CU8],Table1x4143153163[RCR]^{1,2,3}),1,4)</f>
        <v>110.78321678321677</v>
      </c>
      <c r="BA29">
        <f>INDEX(LINEST(Table1x4143153163[CU9],Table1x4143153163[RCR]^{1,2,3}),1,4)</f>
        <v>106.02097902097901</v>
      </c>
      <c r="BB29">
        <f>INDEX(LINEST(Table1x4143153163[CU10],Table1x4143153163[RCR]^{1,2,3}),1,4)</f>
        <v>106.31468531468531</v>
      </c>
      <c r="BC29">
        <f>INDEX(LINEST(Table1x4143153163[CU11],Table1x4143153163[RCR]^{1,2,3}),1,4)</f>
        <v>105.90909090909089</v>
      </c>
      <c r="BD29">
        <f>INDEX(LINEST(Table1x4143153163[CU12],Table1x4143153163[RCR]^{1,2,3}),1,4)</f>
        <v>102.37062937062936</v>
      </c>
      <c r="BE29">
        <f>INDEX(LINEST(Table1x4143153163[CU13],Table1x4143153163[RCR]^{1,2,3}),1,4)</f>
        <v>102.41958041958041</v>
      </c>
      <c r="BF29">
        <f>INDEX(LINEST(Table1x4143153163[CU14],Table1x4143153163[RCR]^{1,2,3}),1,4)</f>
        <v>102.06293706293705</v>
      </c>
      <c r="BH29" t="s">
        <v>221</v>
      </c>
      <c r="BI29">
        <f>INDEX(LINEST(Table2x4134144154164[CU],Table2x4134144154164[RCR]^{1,2,3}),1,4)</f>
        <v>119.11888111888111</v>
      </c>
      <c r="BJ29">
        <f>INDEX(LINEST(Table2x4134144154164[CU1],Table2x4134144154164[RCR]^{1,2,3}),1,4)</f>
        <v>118.96503496503495</v>
      </c>
      <c r="BK29">
        <f>INDEX(LINEST(Table2x4134144154164[CU2],Table2x4134144154164[RCR]^{1,2,3}),1,4)</f>
        <v>118.47552447552444</v>
      </c>
      <c r="BL29">
        <f>INDEX(LINEST(Table2x4134144154164[CU3],Table2x4134144154164[RCR]^{1,2,3}),1,4)</f>
        <v>116.2027972027972</v>
      </c>
      <c r="BM29">
        <f>INDEX(LINEST(Table2x4134144154164[CU4],Table2x4134144154164[RCR]^{1,2,3}),1,4)</f>
        <v>116.02097902097901</v>
      </c>
      <c r="BN29">
        <f>INDEX(LINEST(Table2x4134144154164[CU5],Table2x4134144154164[RCR]^{1,2,3}),1,4)</f>
        <v>115.58041958041954</v>
      </c>
      <c r="BO29">
        <f>INDEX(LINEST(Table2x4134144154164[CU6],Table2x4134144154164[RCR]^{1,2,3}),1,4)</f>
        <v>111.03496503496498</v>
      </c>
      <c r="BP29">
        <f>INDEX(LINEST(Table2x4134144154164[CU7],Table2x4134144154164[RCR]^{1,2,3}),1,4)</f>
        <v>110.97202797202793</v>
      </c>
      <c r="BQ29">
        <f>INDEX(LINEST(Table2x4134144154164[CU8],Table2x4134144154164[RCR]^{1,2,3}),1,4)</f>
        <v>110.67832167832171</v>
      </c>
      <c r="BR29">
        <f>INDEX(LINEST(Table2x4134144154164[CU9],Table2x4134144154164[RCR]^{1,2,3}),1,4)</f>
        <v>105.99300699300699</v>
      </c>
      <c r="BS29">
        <f>INDEX(LINEST(Table2x4134144154164[CU10],Table2x4134144154164[RCR]^{1,2,3}),1,4)</f>
        <v>106.17482517482517</v>
      </c>
      <c r="BT29">
        <f>INDEX(LINEST(Table2x4134144154164[CU11],Table2x4134144154164[RCR]^{1,2,3}),1,4)</f>
        <v>105.82517482517478</v>
      </c>
      <c r="BU29">
        <f>INDEX(LINEST(Table2x4134144154164[CU12],Table2x4134144154164[RCR]^{1,2,3}),1,4)</f>
        <v>102.22377622377621</v>
      </c>
      <c r="BV29">
        <f>INDEX(LINEST(Table2x4134144154164[CU13],Table2x4134144154164[RCR]^{1,2,3}),1,4)</f>
        <v>102.13286713286712</v>
      </c>
      <c r="BW29">
        <f>INDEX(LINEST(Table2x4134144154164[CU14],Table2x4134144154164[RCR]^{1,2,3}),1,4)</f>
        <v>102.16783216783213</v>
      </c>
      <c r="BY29" t="s">
        <v>221</v>
      </c>
      <c r="BZ29">
        <f>INDEX(LINEST(Table2x4134144154165[CU],Table2x4134144154165[RCR]^{1,2,3}),1,4)</f>
        <v>118.97202797202797</v>
      </c>
      <c r="CA29">
        <f>INDEX(LINEST(Table2x4134144154165[CU1],Table2x4134144154165[RCR]^{1,2,3}),1,4)</f>
        <v>118.90209790209789</v>
      </c>
      <c r="CB29">
        <f>INDEX(LINEST(Table2x4134144154165[CU2],Table2x4134144154165[RCR]^{1,2,3}),1,4)</f>
        <v>118.53846153846153</v>
      </c>
      <c r="CC29">
        <f>INDEX(LINEST(Table2x4134144154165[CU3],Table2x4134144154165[RCR]^{1,2,3}),1,4)</f>
        <v>116.31468531468532</v>
      </c>
      <c r="CD29">
        <f>INDEX(LINEST(Table2x4134144154165[CU4],Table2x4134144154165[RCR]^{1,2,3}),1,4)</f>
        <v>115.99300699300701</v>
      </c>
      <c r="CE29">
        <f>INDEX(LINEST(Table2x4134144154165[CU5],Table2x4134144154165[RCR]^{1,2,3}),1,4)</f>
        <v>115.37762237762234</v>
      </c>
      <c r="CF29">
        <f>INDEX(LINEST(Table2x4134144154165[CU6],Table2x4134144154165[RCR]^{1,2,3}),1,4)</f>
        <v>110.91608391608395</v>
      </c>
      <c r="CG29">
        <f>INDEX(LINEST(Table2x4134144154165[CU7],Table2x4134144154165[RCR]^{1,2,3}),1,4)</f>
        <v>110.91608391608391</v>
      </c>
      <c r="CH29">
        <f>INDEX(LINEST(Table2x4134144154165[CU8],Table2x4134144154165[RCR]^{1,2,3}),1,4)</f>
        <v>110.59440559440557</v>
      </c>
      <c r="CI29">
        <f>INDEX(LINEST(Table2x4134144154165[CU9],Table2x4134144154165[RCR]^{1,2,3}),1,4)</f>
        <v>106.47552447552447</v>
      </c>
      <c r="CJ29">
        <f>INDEX(LINEST(Table2x4134144154165[CU10],Table2x4134144154165[RCR]^{1,2,3}),1,4)</f>
        <v>106.13286713286712</v>
      </c>
      <c r="CK29">
        <f>INDEX(LINEST(Table2x4134144154165[CU11],Table2x4134144154165[RCR]^{1,2,3}),1,4)</f>
        <v>106.2167832167832</v>
      </c>
      <c r="CL29">
        <f>INDEX(LINEST(Table2x4134144154165[CU12],Table2x4134144154165[RCR]^{1,2,3}),1,4)</f>
        <v>102.12587412587411</v>
      </c>
      <c r="CM29">
        <f>INDEX(LINEST(Table2x4134144154165[CU13],Table2x4134144154165[RCR]^{1,2,3}),1,4)</f>
        <v>102.11888111888112</v>
      </c>
      <c r="CN29">
        <f>INDEX(LINEST(Table2x4134144154165[CU14],Table2x4134144154165[RCR]^{1,2,3}),1,4)</f>
        <v>102.13986013986013</v>
      </c>
      <c r="CP29" t="s">
        <v>221</v>
      </c>
      <c r="CQ29">
        <f>INDEX(LINEST(Table2x4134144154166[CU],Table2x4134144154166[RCR]^{1,2,3}),1,4)</f>
        <v>119.09090909090908</v>
      </c>
      <c r="CR29">
        <f>INDEX(LINEST(Table2x4134144154166[CU1],Table2x4134144154166[RCR]^{1,2,3}),1,4)</f>
        <v>118.78321678321683</v>
      </c>
      <c r="CS29">
        <f>INDEX(LINEST(Table2x4134144154166[CU2],Table2x4134144154166[RCR]^{1,2,3}),1,4)</f>
        <v>118.34965034965032</v>
      </c>
      <c r="CT29">
        <f>INDEX(LINEST(Table2x4134144154166[CU3],Table2x4134144154166[RCR]^{1,2,3}),1,4)</f>
        <v>116.03496503496501</v>
      </c>
      <c r="CU29">
        <f>INDEX(LINEST(Table2x4134144154166[CU4],Table2x4134144154166[RCR]^{1,2,3}),1,4)</f>
        <v>115.89510489510488</v>
      </c>
      <c r="CV29">
        <f>INDEX(LINEST(Table2x4134144154166[CU5],Table2x4134144154166[RCR]^{1,2,3}),1,4)</f>
        <v>115.79020979020979</v>
      </c>
      <c r="CW29">
        <f>INDEX(LINEST(Table2x4134144154166[CU6],Table2x4134144154166[RCR]^{1,2,3}),1,4)</f>
        <v>111.32867132867129</v>
      </c>
      <c r="CX29">
        <f>INDEX(LINEST(Table2x4134144154166[CU7],Table2x4134144154166[RCR]^{1,2,3}),1,4)</f>
        <v>111.12587412587411</v>
      </c>
      <c r="CY29">
        <f>INDEX(LINEST(Table2x4134144154166[CU8],Table2x4134144154166[RCR]^{1,2,3}),1,4)</f>
        <v>110.88811188811189</v>
      </c>
      <c r="CZ29">
        <f>INDEX(LINEST(Table2x4134144154166[CU9],Table2x4134144154166[RCR]^{1,2,3}),1,4)</f>
        <v>106.23076923076923</v>
      </c>
      <c r="DA29">
        <f>INDEX(LINEST(Table2x4134144154166[CU10],Table2x4134144154166[RCR]^{1,2,3}),1,4)</f>
        <v>106.04895104895105</v>
      </c>
      <c r="DB29">
        <f>INDEX(LINEST(Table2x4134144154166[CU11],Table2x4134144154166[RCR]^{1,2,3}),1,4)</f>
        <v>106.03496503496503</v>
      </c>
      <c r="DC29">
        <f>INDEX(LINEST(Table2x4134144154166[CU12],Table2x4134144154166[RCR]^{1,2,3}),1,4)</f>
        <v>102.04195804195805</v>
      </c>
      <c r="DD29">
        <f>INDEX(LINEST(Table2x4134144154166[CU13],Table2x4134144154166[RCR]^{1,2,3}),1,4)</f>
        <v>101.99300699300699</v>
      </c>
      <c r="DE29">
        <f>INDEX(LINEST(Table2x4134144154166[CU14],Table2x4134144154166[RCR]^{1,2,3}),1,4)</f>
        <v>102.04195804195803</v>
      </c>
    </row>
    <row r="30" spans="1:114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45">$C$16</f>
        <v>#DIV/0!</v>
      </c>
      <c r="K30" t="e">
        <f t="shared" si="45"/>
        <v>#DIV/0!</v>
      </c>
      <c r="L30" t="e">
        <f t="shared" si="45"/>
        <v>#DIV/0!</v>
      </c>
      <c r="M30" t="e">
        <f t="shared" si="45"/>
        <v>#DIV/0!</v>
      </c>
      <c r="N30" t="e">
        <f t="shared" si="45"/>
        <v>#DIV/0!</v>
      </c>
      <c r="O30" t="e">
        <f t="shared" si="45"/>
        <v>#DIV/0!</v>
      </c>
      <c r="P30" t="e">
        <f t="shared" si="45"/>
        <v>#DIV/0!</v>
      </c>
      <c r="Q30" t="e">
        <f t="shared" si="45"/>
        <v>#DIV/0!</v>
      </c>
      <c r="R30" t="e">
        <f t="shared" si="45"/>
        <v>#DIV/0!</v>
      </c>
      <c r="S30" t="e">
        <f t="shared" si="45"/>
        <v>#DIV/0!</v>
      </c>
      <c r="T30" t="e">
        <f t="shared" si="45"/>
        <v>#DIV/0!</v>
      </c>
      <c r="U30" t="e">
        <f t="shared" si="45"/>
        <v>#DIV/0!</v>
      </c>
      <c r="V30" t="e">
        <f t="shared" si="45"/>
        <v>#DIV/0!</v>
      </c>
      <c r="W30" t="e">
        <f t="shared" si="45"/>
        <v>#DIV/0!</v>
      </c>
      <c r="X30" t="e">
        <f t="shared" si="45"/>
        <v>#DIV/0!</v>
      </c>
      <c r="Z30" t="s">
        <v>222</v>
      </c>
      <c r="AA30" t="e">
        <f t="shared" ref="AA30:AO30" si="46">$C$16</f>
        <v>#DIV/0!</v>
      </c>
      <c r="AB30" t="e">
        <f t="shared" si="46"/>
        <v>#DIV/0!</v>
      </c>
      <c r="AC30" t="e">
        <f t="shared" si="46"/>
        <v>#DIV/0!</v>
      </c>
      <c r="AD30" t="e">
        <f t="shared" si="46"/>
        <v>#DIV/0!</v>
      </c>
      <c r="AE30" t="e">
        <f t="shared" si="46"/>
        <v>#DIV/0!</v>
      </c>
      <c r="AF30" t="e">
        <f t="shared" si="46"/>
        <v>#DIV/0!</v>
      </c>
      <c r="AG30" t="e">
        <f t="shared" si="46"/>
        <v>#DIV/0!</v>
      </c>
      <c r="AH30" t="e">
        <f t="shared" si="46"/>
        <v>#DIV/0!</v>
      </c>
      <c r="AI30" t="e">
        <f t="shared" si="46"/>
        <v>#DIV/0!</v>
      </c>
      <c r="AJ30" t="e">
        <f t="shared" si="46"/>
        <v>#DIV/0!</v>
      </c>
      <c r="AK30" t="e">
        <f t="shared" si="46"/>
        <v>#DIV/0!</v>
      </c>
      <c r="AL30" t="e">
        <f t="shared" si="46"/>
        <v>#DIV/0!</v>
      </c>
      <c r="AM30" t="e">
        <f t="shared" si="46"/>
        <v>#DIV/0!</v>
      </c>
      <c r="AN30" t="e">
        <f t="shared" si="46"/>
        <v>#DIV/0!</v>
      </c>
      <c r="AO30" t="e">
        <f t="shared" si="46"/>
        <v>#DIV/0!</v>
      </c>
      <c r="AQ30" t="s">
        <v>222</v>
      </c>
      <c r="AR30" t="e">
        <f t="shared" ref="AR30:BF30" si="47">$C$16</f>
        <v>#DIV/0!</v>
      </c>
      <c r="AS30" t="e">
        <f t="shared" si="47"/>
        <v>#DIV/0!</v>
      </c>
      <c r="AT30" t="e">
        <f t="shared" si="47"/>
        <v>#DIV/0!</v>
      </c>
      <c r="AU30" t="e">
        <f t="shared" si="47"/>
        <v>#DIV/0!</v>
      </c>
      <c r="AV30" t="e">
        <f t="shared" si="47"/>
        <v>#DIV/0!</v>
      </c>
      <c r="AW30" t="e">
        <f t="shared" si="47"/>
        <v>#DIV/0!</v>
      </c>
      <c r="AX30" t="e">
        <f t="shared" si="47"/>
        <v>#DIV/0!</v>
      </c>
      <c r="AY30" t="e">
        <f t="shared" si="47"/>
        <v>#DIV/0!</v>
      </c>
      <c r="AZ30" t="e">
        <f t="shared" si="47"/>
        <v>#DIV/0!</v>
      </c>
      <c r="BA30" t="e">
        <f t="shared" si="47"/>
        <v>#DIV/0!</v>
      </c>
      <c r="BB30" t="e">
        <f t="shared" si="47"/>
        <v>#DIV/0!</v>
      </c>
      <c r="BC30" t="e">
        <f t="shared" si="47"/>
        <v>#DIV/0!</v>
      </c>
      <c r="BD30" t="e">
        <f t="shared" si="47"/>
        <v>#DIV/0!</v>
      </c>
      <c r="BE30" t="e">
        <f t="shared" si="47"/>
        <v>#DIV/0!</v>
      </c>
      <c r="BF30" t="e">
        <f t="shared" si="47"/>
        <v>#DIV/0!</v>
      </c>
      <c r="BH30" t="s">
        <v>222</v>
      </c>
      <c r="BI30" t="e">
        <f t="shared" ref="BI30:BW30" si="48">$C$16</f>
        <v>#DIV/0!</v>
      </c>
      <c r="BJ30" t="e">
        <f t="shared" si="48"/>
        <v>#DIV/0!</v>
      </c>
      <c r="BK30" t="e">
        <f t="shared" si="48"/>
        <v>#DIV/0!</v>
      </c>
      <c r="BL30" t="e">
        <f t="shared" si="48"/>
        <v>#DIV/0!</v>
      </c>
      <c r="BM30" t="e">
        <f t="shared" si="48"/>
        <v>#DIV/0!</v>
      </c>
      <c r="BN30" t="e">
        <f t="shared" si="48"/>
        <v>#DIV/0!</v>
      </c>
      <c r="BO30" t="e">
        <f t="shared" si="48"/>
        <v>#DIV/0!</v>
      </c>
      <c r="BP30" t="e">
        <f t="shared" si="48"/>
        <v>#DIV/0!</v>
      </c>
      <c r="BQ30" t="e">
        <f t="shared" si="48"/>
        <v>#DIV/0!</v>
      </c>
      <c r="BR30" t="e">
        <f t="shared" si="48"/>
        <v>#DIV/0!</v>
      </c>
      <c r="BS30" t="e">
        <f t="shared" si="48"/>
        <v>#DIV/0!</v>
      </c>
      <c r="BT30" t="e">
        <f t="shared" si="48"/>
        <v>#DIV/0!</v>
      </c>
      <c r="BU30" t="e">
        <f t="shared" si="48"/>
        <v>#DIV/0!</v>
      </c>
      <c r="BV30" t="e">
        <f t="shared" si="48"/>
        <v>#DIV/0!</v>
      </c>
      <c r="BW30" t="e">
        <f t="shared" si="48"/>
        <v>#DIV/0!</v>
      </c>
      <c r="BY30" t="s">
        <v>222</v>
      </c>
      <c r="BZ30" t="e">
        <f t="shared" ref="BZ30:CN30" si="49">$C$16</f>
        <v>#DIV/0!</v>
      </c>
      <c r="CA30" t="e">
        <f t="shared" si="49"/>
        <v>#DIV/0!</v>
      </c>
      <c r="CB30" t="e">
        <f t="shared" si="49"/>
        <v>#DIV/0!</v>
      </c>
      <c r="CC30" t="e">
        <f t="shared" si="49"/>
        <v>#DIV/0!</v>
      </c>
      <c r="CD30" t="e">
        <f t="shared" si="49"/>
        <v>#DIV/0!</v>
      </c>
      <c r="CE30" t="e">
        <f t="shared" si="49"/>
        <v>#DIV/0!</v>
      </c>
      <c r="CF30" t="e">
        <f t="shared" si="49"/>
        <v>#DIV/0!</v>
      </c>
      <c r="CG30" t="e">
        <f t="shared" si="49"/>
        <v>#DIV/0!</v>
      </c>
      <c r="CH30" t="e">
        <f t="shared" si="49"/>
        <v>#DIV/0!</v>
      </c>
      <c r="CI30" t="e">
        <f t="shared" si="49"/>
        <v>#DIV/0!</v>
      </c>
      <c r="CJ30" t="e">
        <f t="shared" si="49"/>
        <v>#DIV/0!</v>
      </c>
      <c r="CK30" t="e">
        <f t="shared" si="49"/>
        <v>#DIV/0!</v>
      </c>
      <c r="CL30" t="e">
        <f t="shared" si="49"/>
        <v>#DIV/0!</v>
      </c>
      <c r="CM30" t="e">
        <f t="shared" si="49"/>
        <v>#DIV/0!</v>
      </c>
      <c r="CN30" t="e">
        <f t="shared" si="49"/>
        <v>#DIV/0!</v>
      </c>
      <c r="CP30" t="s">
        <v>222</v>
      </c>
      <c r="CQ30" t="e">
        <f t="shared" ref="CQ30:DE30" si="50">$C$16</f>
        <v>#DIV/0!</v>
      </c>
      <c r="CR30" t="e">
        <f t="shared" si="50"/>
        <v>#DIV/0!</v>
      </c>
      <c r="CS30" t="e">
        <f t="shared" si="50"/>
        <v>#DIV/0!</v>
      </c>
      <c r="CT30" t="e">
        <f t="shared" si="50"/>
        <v>#DIV/0!</v>
      </c>
      <c r="CU30" t="e">
        <f t="shared" si="50"/>
        <v>#DIV/0!</v>
      </c>
      <c r="CV30" t="e">
        <f t="shared" si="50"/>
        <v>#DIV/0!</v>
      </c>
      <c r="CW30" t="e">
        <f t="shared" si="50"/>
        <v>#DIV/0!</v>
      </c>
      <c r="CX30" t="e">
        <f t="shared" si="50"/>
        <v>#DIV/0!</v>
      </c>
      <c r="CY30" t="e">
        <f t="shared" si="50"/>
        <v>#DIV/0!</v>
      </c>
      <c r="CZ30" t="e">
        <f t="shared" si="50"/>
        <v>#DIV/0!</v>
      </c>
      <c r="DA30" t="e">
        <f t="shared" si="50"/>
        <v>#DIV/0!</v>
      </c>
      <c r="DB30" t="e">
        <f t="shared" si="50"/>
        <v>#DIV/0!</v>
      </c>
      <c r="DC30" t="e">
        <f t="shared" si="50"/>
        <v>#DIV/0!</v>
      </c>
      <c r="DD30" t="e">
        <f t="shared" si="50"/>
        <v>#DIV/0!</v>
      </c>
      <c r="DE30" t="e">
        <f t="shared" si="50"/>
        <v>#DIV/0!</v>
      </c>
      <c r="DF30" s="27"/>
      <c r="DG30" s="27"/>
      <c r="DH30" s="27"/>
      <c r="DI30" s="27"/>
      <c r="DJ30" s="27"/>
    </row>
    <row r="31" spans="1:114" x14ac:dyDescent="0.25">
      <c r="B31" t="s">
        <v>10</v>
      </c>
      <c r="C31" s="22"/>
      <c r="H31" s="5"/>
    </row>
    <row r="32" spans="1:114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724</v>
      </c>
      <c r="M32" t="s">
        <v>13</v>
      </c>
    </row>
    <row r="33" spans="1:114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s">
        <v>1169</v>
      </c>
      <c r="M33" t="e">
        <f>J25</f>
        <v>#DIV/0!</v>
      </c>
    </row>
    <row r="34" spans="1:114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s">
        <v>1169</v>
      </c>
      <c r="M34" t="e">
        <f>K25</f>
        <v>#DIV/0!</v>
      </c>
    </row>
    <row r="35" spans="1:114" x14ac:dyDescent="0.25">
      <c r="C35" s="1"/>
      <c r="H35" t="s">
        <v>17</v>
      </c>
      <c r="I35">
        <v>80</v>
      </c>
      <c r="J35">
        <v>10</v>
      </c>
      <c r="K35">
        <v>24</v>
      </c>
      <c r="L35" t="s">
        <v>1169</v>
      </c>
      <c r="M35" t="e">
        <f>L25</f>
        <v>#DIV/0!</v>
      </c>
    </row>
    <row r="36" spans="1:114" x14ac:dyDescent="0.25">
      <c r="C36" s="1"/>
      <c r="H36" t="s">
        <v>18</v>
      </c>
      <c r="I36">
        <v>70</v>
      </c>
      <c r="J36">
        <v>50</v>
      </c>
      <c r="K36">
        <v>24</v>
      </c>
      <c r="L36" t="s">
        <v>1169</v>
      </c>
      <c r="M36" t="e">
        <f>M25</f>
        <v>#DIV/0!</v>
      </c>
    </row>
    <row r="37" spans="1:114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s">
        <v>1169</v>
      </c>
      <c r="M37" t="e">
        <f>N25</f>
        <v>#DIV/0!</v>
      </c>
      <c r="DF37" s="27"/>
      <c r="DG37" s="27"/>
      <c r="DH37" s="27"/>
      <c r="DI37" s="27"/>
      <c r="DJ37" s="27"/>
    </row>
    <row r="38" spans="1:114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s">
        <v>1169</v>
      </c>
      <c r="M38" t="e">
        <f>O25</f>
        <v>#DIV/0!</v>
      </c>
    </row>
    <row r="39" spans="1:114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s">
        <v>1169</v>
      </c>
      <c r="M39" t="e">
        <f>P25</f>
        <v>#DIV/0!</v>
      </c>
    </row>
    <row r="40" spans="1:114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s">
        <v>1169</v>
      </c>
      <c r="M40" t="e">
        <f>Q25</f>
        <v>#DIV/0!</v>
      </c>
    </row>
    <row r="41" spans="1:114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s">
        <v>1169</v>
      </c>
      <c r="M41" t="e">
        <f>R25</f>
        <v>#DIV/0!</v>
      </c>
    </row>
    <row r="42" spans="1:114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s">
        <v>1169</v>
      </c>
      <c r="M42" t="e">
        <f>S25</f>
        <v>#DIV/0!</v>
      </c>
    </row>
    <row r="43" spans="1:114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s">
        <v>1169</v>
      </c>
      <c r="M43" t="e">
        <f>T25</f>
        <v>#DIV/0!</v>
      </c>
    </row>
    <row r="44" spans="1:114" x14ac:dyDescent="0.25">
      <c r="B44" t="s">
        <v>128</v>
      </c>
      <c r="C44" s="1" t="e">
        <f>IF(C39=1,0,C11/C39)</f>
        <v>#N/A</v>
      </c>
      <c r="D44" t="s">
        <v>8</v>
      </c>
      <c r="E44" s="12" t="e">
        <f>IF(C43=90,C25,C26)</f>
        <v>#N/A</v>
      </c>
      <c r="F44" s="12" t="e">
        <f>E44*(C14-C15)</f>
        <v>#N/A</v>
      </c>
      <c r="H44" t="s">
        <v>25</v>
      </c>
      <c r="I44">
        <v>30</v>
      </c>
      <c r="J44">
        <v>10</v>
      </c>
      <c r="K44">
        <v>24</v>
      </c>
      <c r="L44" t="s">
        <v>1169</v>
      </c>
      <c r="M44" t="e">
        <f>U25</f>
        <v>#DIV/0!</v>
      </c>
    </row>
    <row r="45" spans="1:114" x14ac:dyDescent="0.25">
      <c r="B45" t="s">
        <v>129</v>
      </c>
      <c r="C45" s="1" t="e">
        <f>IF(C40=1,0,C12/C40)</f>
        <v>#N/A</v>
      </c>
      <c r="D45" t="s">
        <v>8</v>
      </c>
      <c r="E45" s="12" t="e">
        <f>IF(C43=90,C26,C25)</f>
        <v>#N/A</v>
      </c>
      <c r="F45" s="12" t="e">
        <f>E45*(C14-C15)</f>
        <v>#N/A</v>
      </c>
      <c r="H45" t="s">
        <v>27</v>
      </c>
      <c r="I45">
        <v>10</v>
      </c>
      <c r="J45">
        <v>50</v>
      </c>
      <c r="K45">
        <v>24</v>
      </c>
      <c r="L45" t="s">
        <v>1169</v>
      </c>
      <c r="M45" t="e">
        <f>V25</f>
        <v>#DIV/0!</v>
      </c>
    </row>
    <row r="46" spans="1:114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s">
        <v>1169</v>
      </c>
      <c r="M46" t="e">
        <f>W25</f>
        <v>#DIV/0!</v>
      </c>
    </row>
    <row r="47" spans="1:114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s">
        <v>1169</v>
      </c>
      <c r="M47" t="e">
        <f>X25</f>
        <v>#DIV/0!</v>
      </c>
    </row>
    <row r="48" spans="1:114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s">
        <v>1169</v>
      </c>
      <c r="M48" t="e">
        <f>AA25</f>
        <v>#DIV/0!</v>
      </c>
    </row>
    <row r="49" spans="1:13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s">
        <v>1169</v>
      </c>
      <c r="M49" t="e">
        <f>AB25</f>
        <v>#DIV/0!</v>
      </c>
    </row>
    <row r="50" spans="1:13" ht="15" customHeight="1" x14ac:dyDescent="0.25">
      <c r="H50" t="s">
        <v>17</v>
      </c>
      <c r="I50">
        <v>80</v>
      </c>
      <c r="J50">
        <v>10</v>
      </c>
      <c r="K50">
        <v>22</v>
      </c>
      <c r="L50" t="s">
        <v>1169</v>
      </c>
      <c r="M50" t="e">
        <f>AC25</f>
        <v>#DIV/0!</v>
      </c>
    </row>
    <row r="51" spans="1:13" x14ac:dyDescent="0.25">
      <c r="H51" t="s">
        <v>18</v>
      </c>
      <c r="I51">
        <v>70</v>
      </c>
      <c r="J51">
        <v>50</v>
      </c>
      <c r="K51">
        <v>22</v>
      </c>
      <c r="L51" t="s">
        <v>1169</v>
      </c>
      <c r="M51" t="e">
        <f>AD25</f>
        <v>#DIV/0!</v>
      </c>
    </row>
    <row r="52" spans="1:13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s">
        <v>1169</v>
      </c>
      <c r="M52" t="e">
        <f>AE25</f>
        <v>#DIV/0!</v>
      </c>
    </row>
    <row r="53" spans="1:13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s">
        <v>1169</v>
      </c>
      <c r="M53" t="e">
        <f>AF25</f>
        <v>#DIV/0!</v>
      </c>
    </row>
    <row r="54" spans="1:13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s">
        <v>1169</v>
      </c>
      <c r="M54" t="e">
        <f>AG25</f>
        <v>#DIV/0!</v>
      </c>
    </row>
    <row r="55" spans="1:13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s">
        <v>1169</v>
      </c>
      <c r="M55" t="e">
        <f>AH25</f>
        <v>#DIV/0!</v>
      </c>
    </row>
    <row r="56" spans="1:13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s">
        <v>1169</v>
      </c>
      <c r="M56" t="e">
        <f>AI25</f>
        <v>#DIV/0!</v>
      </c>
    </row>
    <row r="57" spans="1:13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s">
        <v>1169</v>
      </c>
      <c r="M57" t="e">
        <f>AJ25</f>
        <v>#DIV/0!</v>
      </c>
    </row>
    <row r="58" spans="1:13" x14ac:dyDescent="0.25">
      <c r="H58" t="s">
        <v>26</v>
      </c>
      <c r="I58">
        <v>30</v>
      </c>
      <c r="J58">
        <v>30</v>
      </c>
      <c r="K58">
        <v>22</v>
      </c>
      <c r="L58" t="s">
        <v>1169</v>
      </c>
      <c r="M58" t="e">
        <f>AK25</f>
        <v>#DIV/0!</v>
      </c>
    </row>
    <row r="59" spans="1:13" x14ac:dyDescent="0.25">
      <c r="H59" t="s">
        <v>25</v>
      </c>
      <c r="I59">
        <v>30</v>
      </c>
      <c r="J59">
        <v>10</v>
      </c>
      <c r="K59">
        <v>22</v>
      </c>
      <c r="L59" t="s">
        <v>1169</v>
      </c>
      <c r="M59" t="e">
        <f>AL25</f>
        <v>#DIV/0!</v>
      </c>
    </row>
    <row r="60" spans="1:13" x14ac:dyDescent="0.25">
      <c r="H60" t="s">
        <v>27</v>
      </c>
      <c r="I60">
        <v>10</v>
      </c>
      <c r="J60">
        <v>50</v>
      </c>
      <c r="K60">
        <v>22</v>
      </c>
      <c r="L60" t="s">
        <v>1169</v>
      </c>
      <c r="M60" t="e">
        <f>AM25</f>
        <v>#DIV/0!</v>
      </c>
    </row>
    <row r="61" spans="1:13" x14ac:dyDescent="0.25">
      <c r="H61" t="s">
        <v>28</v>
      </c>
      <c r="I61">
        <v>10</v>
      </c>
      <c r="J61">
        <v>30</v>
      </c>
      <c r="K61">
        <v>22</v>
      </c>
      <c r="L61" t="s">
        <v>1169</v>
      </c>
      <c r="M61" t="e">
        <f>AN25</f>
        <v>#DIV/0!</v>
      </c>
    </row>
    <row r="62" spans="1:13" x14ac:dyDescent="0.25">
      <c r="H62" t="s">
        <v>29</v>
      </c>
      <c r="I62">
        <v>10</v>
      </c>
      <c r="J62">
        <v>10</v>
      </c>
      <c r="K62">
        <v>22</v>
      </c>
      <c r="L62" t="s">
        <v>1169</v>
      </c>
      <c r="M62" t="e">
        <f>AO25</f>
        <v>#DIV/0!</v>
      </c>
    </row>
    <row r="63" spans="1:13" x14ac:dyDescent="0.25">
      <c r="H63" t="s">
        <v>13</v>
      </c>
      <c r="I63">
        <v>80</v>
      </c>
      <c r="J63">
        <v>50</v>
      </c>
      <c r="K63">
        <v>24</v>
      </c>
      <c r="L63" t="s">
        <v>1170</v>
      </c>
      <c r="M63" t="e">
        <f>AR25</f>
        <v>#DIV/0!</v>
      </c>
    </row>
    <row r="64" spans="1:13" x14ac:dyDescent="0.25">
      <c r="H64" t="s">
        <v>16</v>
      </c>
      <c r="I64">
        <v>80</v>
      </c>
      <c r="J64">
        <v>30</v>
      </c>
      <c r="K64">
        <v>24</v>
      </c>
      <c r="L64" t="s">
        <v>1170</v>
      </c>
      <c r="M64" t="e">
        <f>AS25</f>
        <v>#DIV/0!</v>
      </c>
    </row>
    <row r="65" spans="8:13" x14ac:dyDescent="0.25">
      <c r="H65" t="s">
        <v>17</v>
      </c>
      <c r="I65">
        <v>80</v>
      </c>
      <c r="J65">
        <v>10</v>
      </c>
      <c r="K65">
        <v>24</v>
      </c>
      <c r="L65" t="s">
        <v>1170</v>
      </c>
      <c r="M65" t="e">
        <f>AT25</f>
        <v>#DIV/0!</v>
      </c>
    </row>
    <row r="66" spans="8:13" x14ac:dyDescent="0.25">
      <c r="H66" t="s">
        <v>18</v>
      </c>
      <c r="I66">
        <v>70</v>
      </c>
      <c r="J66">
        <v>50</v>
      </c>
      <c r="K66">
        <v>24</v>
      </c>
      <c r="L66" t="s">
        <v>1170</v>
      </c>
      <c r="M66" t="e">
        <f>AU25</f>
        <v>#DIV/0!</v>
      </c>
    </row>
    <row r="67" spans="8:13" x14ac:dyDescent="0.25">
      <c r="H67" t="s">
        <v>19</v>
      </c>
      <c r="I67">
        <v>70</v>
      </c>
      <c r="J67">
        <v>30</v>
      </c>
      <c r="K67">
        <v>24</v>
      </c>
      <c r="L67" t="s">
        <v>1170</v>
      </c>
      <c r="M67" t="e">
        <f>AV25</f>
        <v>#DIV/0!</v>
      </c>
    </row>
    <row r="68" spans="8:13" x14ac:dyDescent="0.25">
      <c r="H68" t="s">
        <v>20</v>
      </c>
      <c r="I68">
        <v>70</v>
      </c>
      <c r="J68">
        <v>10</v>
      </c>
      <c r="K68">
        <v>24</v>
      </c>
      <c r="L68" t="s">
        <v>1170</v>
      </c>
      <c r="M68" t="e">
        <f>AW25</f>
        <v>#DIV/0!</v>
      </c>
    </row>
    <row r="69" spans="8:13" x14ac:dyDescent="0.25">
      <c r="H69" t="s">
        <v>21</v>
      </c>
      <c r="I69">
        <v>50</v>
      </c>
      <c r="J69">
        <v>50</v>
      </c>
      <c r="K69">
        <v>24</v>
      </c>
      <c r="L69" t="s">
        <v>1170</v>
      </c>
      <c r="M69" t="e">
        <f>AX25</f>
        <v>#DIV/0!</v>
      </c>
    </row>
    <row r="70" spans="8:13" x14ac:dyDescent="0.25">
      <c r="H70" t="s">
        <v>22</v>
      </c>
      <c r="I70">
        <v>50</v>
      </c>
      <c r="J70">
        <v>30</v>
      </c>
      <c r="K70">
        <v>24</v>
      </c>
      <c r="L70" t="s">
        <v>1170</v>
      </c>
      <c r="M70" t="e">
        <f>AY25</f>
        <v>#DIV/0!</v>
      </c>
    </row>
    <row r="71" spans="8:13" x14ac:dyDescent="0.25">
      <c r="H71" t="s">
        <v>23</v>
      </c>
      <c r="I71">
        <v>50</v>
      </c>
      <c r="J71">
        <v>10</v>
      </c>
      <c r="K71">
        <v>24</v>
      </c>
      <c r="L71" t="s">
        <v>1170</v>
      </c>
      <c r="M71" t="e">
        <f>AZ25</f>
        <v>#DIV/0!</v>
      </c>
    </row>
    <row r="72" spans="8:13" x14ac:dyDescent="0.25">
      <c r="H72" t="s">
        <v>24</v>
      </c>
      <c r="I72">
        <v>30</v>
      </c>
      <c r="J72">
        <v>50</v>
      </c>
      <c r="K72">
        <v>24</v>
      </c>
      <c r="L72" t="s">
        <v>1170</v>
      </c>
      <c r="M72" t="e">
        <f>BA25</f>
        <v>#DIV/0!</v>
      </c>
    </row>
    <row r="73" spans="8:13" x14ac:dyDescent="0.25">
      <c r="H73" t="s">
        <v>26</v>
      </c>
      <c r="I73">
        <v>30</v>
      </c>
      <c r="J73">
        <v>30</v>
      </c>
      <c r="K73">
        <v>24</v>
      </c>
      <c r="L73" t="s">
        <v>1170</v>
      </c>
      <c r="M73" t="e">
        <f>BB25</f>
        <v>#DIV/0!</v>
      </c>
    </row>
    <row r="74" spans="8:13" x14ac:dyDescent="0.25">
      <c r="H74" t="s">
        <v>25</v>
      </c>
      <c r="I74">
        <v>30</v>
      </c>
      <c r="J74">
        <v>10</v>
      </c>
      <c r="K74">
        <v>24</v>
      </c>
      <c r="L74" t="s">
        <v>1170</v>
      </c>
      <c r="M74" t="e">
        <f>BC25</f>
        <v>#DIV/0!</v>
      </c>
    </row>
    <row r="75" spans="8:13" x14ac:dyDescent="0.25">
      <c r="H75" t="s">
        <v>27</v>
      </c>
      <c r="I75">
        <v>10</v>
      </c>
      <c r="J75">
        <v>50</v>
      </c>
      <c r="K75">
        <v>24</v>
      </c>
      <c r="L75" t="s">
        <v>1170</v>
      </c>
      <c r="M75" t="e">
        <f>BD25</f>
        <v>#DIV/0!</v>
      </c>
    </row>
    <row r="76" spans="8:13" x14ac:dyDescent="0.25">
      <c r="H76" t="s">
        <v>28</v>
      </c>
      <c r="I76">
        <v>10</v>
      </c>
      <c r="J76">
        <v>30</v>
      </c>
      <c r="K76">
        <v>24</v>
      </c>
      <c r="L76" t="s">
        <v>1170</v>
      </c>
      <c r="M76" t="e">
        <f>BE25</f>
        <v>#DIV/0!</v>
      </c>
    </row>
    <row r="77" spans="8:13" x14ac:dyDescent="0.25">
      <c r="H77" t="s">
        <v>29</v>
      </c>
      <c r="I77">
        <v>10</v>
      </c>
      <c r="J77">
        <v>10</v>
      </c>
      <c r="K77">
        <v>24</v>
      </c>
      <c r="L77" t="s">
        <v>1170</v>
      </c>
      <c r="M77" t="e">
        <f>BF25</f>
        <v>#DIV/0!</v>
      </c>
    </row>
    <row r="78" spans="8:13" x14ac:dyDescent="0.25">
      <c r="H78" t="s">
        <v>13</v>
      </c>
      <c r="I78">
        <v>80</v>
      </c>
      <c r="J78">
        <v>50</v>
      </c>
      <c r="K78">
        <v>22</v>
      </c>
      <c r="L78" t="s">
        <v>1170</v>
      </c>
      <c r="M78" t="e">
        <f>BI25</f>
        <v>#DIV/0!</v>
      </c>
    </row>
    <row r="79" spans="8:13" x14ac:dyDescent="0.25">
      <c r="H79" t="s">
        <v>16</v>
      </c>
      <c r="I79">
        <v>80</v>
      </c>
      <c r="J79">
        <v>30</v>
      </c>
      <c r="K79">
        <v>22</v>
      </c>
      <c r="L79" t="s">
        <v>1170</v>
      </c>
      <c r="M79" t="e">
        <f>BJ25</f>
        <v>#DIV/0!</v>
      </c>
    </row>
    <row r="80" spans="8:13" x14ac:dyDescent="0.25">
      <c r="H80" t="s">
        <v>17</v>
      </c>
      <c r="I80">
        <v>80</v>
      </c>
      <c r="J80">
        <v>10</v>
      </c>
      <c r="K80">
        <v>22</v>
      </c>
      <c r="L80" t="s">
        <v>1170</v>
      </c>
      <c r="M80" t="e">
        <f>BK25</f>
        <v>#DIV/0!</v>
      </c>
    </row>
    <row r="81" spans="8:13" x14ac:dyDescent="0.25">
      <c r="H81" t="s">
        <v>18</v>
      </c>
      <c r="I81">
        <v>70</v>
      </c>
      <c r="J81">
        <v>50</v>
      </c>
      <c r="K81">
        <v>22</v>
      </c>
      <c r="L81" t="s">
        <v>1170</v>
      </c>
      <c r="M81" t="e">
        <f>BL25</f>
        <v>#DIV/0!</v>
      </c>
    </row>
    <row r="82" spans="8:13" x14ac:dyDescent="0.25">
      <c r="H82" t="s">
        <v>19</v>
      </c>
      <c r="I82">
        <v>70</v>
      </c>
      <c r="J82">
        <v>30</v>
      </c>
      <c r="K82">
        <v>22</v>
      </c>
      <c r="L82" t="s">
        <v>1170</v>
      </c>
      <c r="M82" t="e">
        <f>BM25</f>
        <v>#DIV/0!</v>
      </c>
    </row>
    <row r="83" spans="8:13" x14ac:dyDescent="0.25">
      <c r="H83" t="s">
        <v>20</v>
      </c>
      <c r="I83">
        <v>70</v>
      </c>
      <c r="J83">
        <v>10</v>
      </c>
      <c r="K83">
        <v>22</v>
      </c>
      <c r="L83" t="s">
        <v>1170</v>
      </c>
      <c r="M83" t="e">
        <f>BN25</f>
        <v>#DIV/0!</v>
      </c>
    </row>
    <row r="84" spans="8:13" x14ac:dyDescent="0.25">
      <c r="H84" t="s">
        <v>21</v>
      </c>
      <c r="I84">
        <v>50</v>
      </c>
      <c r="J84">
        <v>50</v>
      </c>
      <c r="K84">
        <v>22</v>
      </c>
      <c r="L84" t="s">
        <v>1170</v>
      </c>
      <c r="M84" t="e">
        <f>BO25</f>
        <v>#DIV/0!</v>
      </c>
    </row>
    <row r="85" spans="8:13" x14ac:dyDescent="0.25">
      <c r="H85" t="s">
        <v>22</v>
      </c>
      <c r="I85">
        <v>50</v>
      </c>
      <c r="J85">
        <v>30</v>
      </c>
      <c r="K85">
        <v>22</v>
      </c>
      <c r="L85" t="s">
        <v>1170</v>
      </c>
      <c r="M85" t="e">
        <f>BP25</f>
        <v>#DIV/0!</v>
      </c>
    </row>
    <row r="86" spans="8:13" x14ac:dyDescent="0.25">
      <c r="H86" t="s">
        <v>23</v>
      </c>
      <c r="I86">
        <v>50</v>
      </c>
      <c r="J86">
        <v>10</v>
      </c>
      <c r="K86">
        <v>22</v>
      </c>
      <c r="L86" t="s">
        <v>1170</v>
      </c>
      <c r="M86" t="e">
        <f>BQ25</f>
        <v>#DIV/0!</v>
      </c>
    </row>
    <row r="87" spans="8:13" x14ac:dyDescent="0.25">
      <c r="H87" t="s">
        <v>24</v>
      </c>
      <c r="I87">
        <v>30</v>
      </c>
      <c r="J87">
        <v>50</v>
      </c>
      <c r="K87">
        <v>22</v>
      </c>
      <c r="L87" t="s">
        <v>1170</v>
      </c>
      <c r="M87" t="e">
        <f>BR25</f>
        <v>#DIV/0!</v>
      </c>
    </row>
    <row r="88" spans="8:13" x14ac:dyDescent="0.25">
      <c r="H88" t="s">
        <v>26</v>
      </c>
      <c r="I88">
        <v>30</v>
      </c>
      <c r="J88">
        <v>30</v>
      </c>
      <c r="K88">
        <v>22</v>
      </c>
      <c r="L88" t="s">
        <v>1170</v>
      </c>
      <c r="M88" t="e">
        <f>BS25</f>
        <v>#DIV/0!</v>
      </c>
    </row>
    <row r="89" spans="8:13" x14ac:dyDescent="0.25">
      <c r="H89" t="s">
        <v>25</v>
      </c>
      <c r="I89">
        <v>30</v>
      </c>
      <c r="J89">
        <v>10</v>
      </c>
      <c r="K89">
        <v>22</v>
      </c>
      <c r="L89" t="s">
        <v>1170</v>
      </c>
      <c r="M89" t="e">
        <f>BT25</f>
        <v>#DIV/0!</v>
      </c>
    </row>
    <row r="90" spans="8:13" x14ac:dyDescent="0.25">
      <c r="H90" t="s">
        <v>27</v>
      </c>
      <c r="I90">
        <v>10</v>
      </c>
      <c r="J90">
        <v>50</v>
      </c>
      <c r="K90">
        <v>22</v>
      </c>
      <c r="L90" t="s">
        <v>1170</v>
      </c>
      <c r="M90" t="e">
        <f>BU25</f>
        <v>#DIV/0!</v>
      </c>
    </row>
    <row r="91" spans="8:13" x14ac:dyDescent="0.25">
      <c r="H91" t="s">
        <v>28</v>
      </c>
      <c r="I91">
        <v>10</v>
      </c>
      <c r="J91">
        <v>30</v>
      </c>
      <c r="K91">
        <v>22</v>
      </c>
      <c r="L91" t="s">
        <v>1170</v>
      </c>
      <c r="M91" t="e">
        <f>BV25</f>
        <v>#DIV/0!</v>
      </c>
    </row>
    <row r="92" spans="8:13" x14ac:dyDescent="0.25">
      <c r="H92" t="s">
        <v>29</v>
      </c>
      <c r="I92">
        <v>10</v>
      </c>
      <c r="J92">
        <v>10</v>
      </c>
      <c r="K92">
        <v>22</v>
      </c>
      <c r="L92" t="s">
        <v>1170</v>
      </c>
      <c r="M92" t="e">
        <f>BW25</f>
        <v>#DIV/0!</v>
      </c>
    </row>
    <row r="93" spans="8:13" x14ac:dyDescent="0.25">
      <c r="H93" t="s">
        <v>13</v>
      </c>
      <c r="I93">
        <v>80</v>
      </c>
      <c r="J93">
        <v>50</v>
      </c>
      <c r="K93">
        <v>24</v>
      </c>
      <c r="L93" t="s">
        <v>114</v>
      </c>
      <c r="M93" t="e">
        <f>BZ25</f>
        <v>#DIV/0!</v>
      </c>
    </row>
    <row r="94" spans="8:13" x14ac:dyDescent="0.25">
      <c r="H94" t="s">
        <v>16</v>
      </c>
      <c r="I94">
        <v>80</v>
      </c>
      <c r="J94">
        <v>30</v>
      </c>
      <c r="K94">
        <v>24</v>
      </c>
      <c r="L94" t="s">
        <v>114</v>
      </c>
      <c r="M94" t="e">
        <f>CA25</f>
        <v>#DIV/0!</v>
      </c>
    </row>
    <row r="95" spans="8:13" x14ac:dyDescent="0.25">
      <c r="H95" t="s">
        <v>17</v>
      </c>
      <c r="I95">
        <v>80</v>
      </c>
      <c r="J95">
        <v>10</v>
      </c>
      <c r="K95">
        <v>24</v>
      </c>
      <c r="L95" t="s">
        <v>114</v>
      </c>
      <c r="M95" t="e">
        <f>CB25</f>
        <v>#DIV/0!</v>
      </c>
    </row>
    <row r="96" spans="8:13" x14ac:dyDescent="0.25">
      <c r="H96" t="s">
        <v>18</v>
      </c>
      <c r="I96">
        <v>70</v>
      </c>
      <c r="J96">
        <v>50</v>
      </c>
      <c r="K96">
        <v>24</v>
      </c>
      <c r="L96" t="s">
        <v>114</v>
      </c>
      <c r="M96" t="e">
        <f>CC25</f>
        <v>#DIV/0!</v>
      </c>
    </row>
    <row r="97" spans="8:13" x14ac:dyDescent="0.25">
      <c r="H97" t="s">
        <v>19</v>
      </c>
      <c r="I97">
        <v>70</v>
      </c>
      <c r="J97">
        <v>30</v>
      </c>
      <c r="K97">
        <v>24</v>
      </c>
      <c r="L97" t="s">
        <v>114</v>
      </c>
      <c r="M97" t="e">
        <f>CD25</f>
        <v>#DIV/0!</v>
      </c>
    </row>
    <row r="98" spans="8:13" x14ac:dyDescent="0.25">
      <c r="H98" t="s">
        <v>20</v>
      </c>
      <c r="I98">
        <v>70</v>
      </c>
      <c r="J98">
        <v>10</v>
      </c>
      <c r="K98">
        <v>24</v>
      </c>
      <c r="L98" t="s">
        <v>114</v>
      </c>
      <c r="M98" t="e">
        <f>CE25</f>
        <v>#DIV/0!</v>
      </c>
    </row>
    <row r="99" spans="8:13" x14ac:dyDescent="0.25">
      <c r="H99" t="s">
        <v>21</v>
      </c>
      <c r="I99">
        <v>50</v>
      </c>
      <c r="J99">
        <v>50</v>
      </c>
      <c r="K99">
        <v>24</v>
      </c>
      <c r="L99" t="s">
        <v>114</v>
      </c>
      <c r="M99" t="e">
        <f>CF25</f>
        <v>#DIV/0!</v>
      </c>
    </row>
    <row r="100" spans="8:13" x14ac:dyDescent="0.25">
      <c r="H100" t="s">
        <v>22</v>
      </c>
      <c r="I100">
        <v>50</v>
      </c>
      <c r="J100">
        <v>30</v>
      </c>
      <c r="K100">
        <v>24</v>
      </c>
      <c r="L100" t="s">
        <v>114</v>
      </c>
      <c r="M100" t="e">
        <f>CG25</f>
        <v>#DIV/0!</v>
      </c>
    </row>
    <row r="101" spans="8:13" x14ac:dyDescent="0.25">
      <c r="H101" t="s">
        <v>23</v>
      </c>
      <c r="I101">
        <v>50</v>
      </c>
      <c r="J101">
        <v>10</v>
      </c>
      <c r="K101">
        <v>24</v>
      </c>
      <c r="L101" t="s">
        <v>114</v>
      </c>
      <c r="M101" t="e">
        <f>CH25</f>
        <v>#DIV/0!</v>
      </c>
    </row>
    <row r="102" spans="8:13" x14ac:dyDescent="0.25">
      <c r="H102" t="s">
        <v>24</v>
      </c>
      <c r="I102">
        <v>30</v>
      </c>
      <c r="J102">
        <v>50</v>
      </c>
      <c r="K102">
        <v>24</v>
      </c>
      <c r="L102" t="s">
        <v>114</v>
      </c>
      <c r="M102" t="e">
        <f>CI25</f>
        <v>#DIV/0!</v>
      </c>
    </row>
    <row r="103" spans="8:13" x14ac:dyDescent="0.25">
      <c r="H103" t="s">
        <v>26</v>
      </c>
      <c r="I103">
        <v>30</v>
      </c>
      <c r="J103">
        <v>30</v>
      </c>
      <c r="K103">
        <v>24</v>
      </c>
      <c r="L103" t="s">
        <v>114</v>
      </c>
      <c r="M103" t="e">
        <f>CJ25</f>
        <v>#DIV/0!</v>
      </c>
    </row>
    <row r="104" spans="8:13" x14ac:dyDescent="0.25">
      <c r="H104" t="s">
        <v>25</v>
      </c>
      <c r="I104">
        <v>30</v>
      </c>
      <c r="J104">
        <v>10</v>
      </c>
      <c r="K104">
        <v>24</v>
      </c>
      <c r="L104" t="s">
        <v>114</v>
      </c>
      <c r="M104" t="e">
        <f>CK25</f>
        <v>#DIV/0!</v>
      </c>
    </row>
    <row r="105" spans="8:13" x14ac:dyDescent="0.25">
      <c r="H105" t="s">
        <v>27</v>
      </c>
      <c r="I105">
        <v>10</v>
      </c>
      <c r="J105">
        <v>50</v>
      </c>
      <c r="K105">
        <v>24</v>
      </c>
      <c r="L105" t="s">
        <v>114</v>
      </c>
      <c r="M105" t="e">
        <f>CL25</f>
        <v>#DIV/0!</v>
      </c>
    </row>
    <row r="106" spans="8:13" x14ac:dyDescent="0.25">
      <c r="H106" t="s">
        <v>28</v>
      </c>
      <c r="I106">
        <v>10</v>
      </c>
      <c r="J106">
        <v>30</v>
      </c>
      <c r="K106">
        <v>24</v>
      </c>
      <c r="L106" t="s">
        <v>114</v>
      </c>
      <c r="M106" t="e">
        <f>CM25</f>
        <v>#DIV/0!</v>
      </c>
    </row>
    <row r="107" spans="8:13" x14ac:dyDescent="0.25">
      <c r="H107" t="s">
        <v>29</v>
      </c>
      <c r="I107">
        <v>10</v>
      </c>
      <c r="J107">
        <v>10</v>
      </c>
      <c r="K107">
        <v>24</v>
      </c>
      <c r="L107" t="s">
        <v>114</v>
      </c>
      <c r="M107" t="e">
        <f>CN25</f>
        <v>#DIV/0!</v>
      </c>
    </row>
    <row r="108" spans="8:13" x14ac:dyDescent="0.25">
      <c r="H108" t="s">
        <v>13</v>
      </c>
      <c r="I108">
        <v>80</v>
      </c>
      <c r="J108">
        <v>50</v>
      </c>
      <c r="K108">
        <v>22</v>
      </c>
      <c r="L108" t="s">
        <v>114</v>
      </c>
      <c r="M108" t="e">
        <f>CQ25</f>
        <v>#DIV/0!</v>
      </c>
    </row>
    <row r="109" spans="8:13" x14ac:dyDescent="0.25">
      <c r="H109" t="s">
        <v>16</v>
      </c>
      <c r="I109">
        <v>80</v>
      </c>
      <c r="J109">
        <v>30</v>
      </c>
      <c r="K109">
        <v>22</v>
      </c>
      <c r="L109" t="s">
        <v>114</v>
      </c>
      <c r="M109" t="e">
        <f>CR25</f>
        <v>#DIV/0!</v>
      </c>
    </row>
    <row r="110" spans="8:13" x14ac:dyDescent="0.25">
      <c r="H110" t="s">
        <v>17</v>
      </c>
      <c r="I110">
        <v>80</v>
      </c>
      <c r="J110">
        <v>10</v>
      </c>
      <c r="K110">
        <v>22</v>
      </c>
      <c r="L110" t="s">
        <v>114</v>
      </c>
      <c r="M110" t="e">
        <f>CS25</f>
        <v>#DIV/0!</v>
      </c>
    </row>
    <row r="111" spans="8:13" x14ac:dyDescent="0.25">
      <c r="H111" t="s">
        <v>18</v>
      </c>
      <c r="I111">
        <v>70</v>
      </c>
      <c r="J111">
        <v>50</v>
      </c>
      <c r="K111">
        <v>22</v>
      </c>
      <c r="L111" t="s">
        <v>114</v>
      </c>
      <c r="M111" t="e">
        <f>CT25</f>
        <v>#DIV/0!</v>
      </c>
    </row>
    <row r="112" spans="8:13" x14ac:dyDescent="0.25">
      <c r="H112" t="s">
        <v>19</v>
      </c>
      <c r="I112">
        <v>70</v>
      </c>
      <c r="J112">
        <v>30</v>
      </c>
      <c r="K112">
        <v>22</v>
      </c>
      <c r="L112" t="s">
        <v>114</v>
      </c>
      <c r="M112" t="e">
        <f>CU25</f>
        <v>#DIV/0!</v>
      </c>
    </row>
    <row r="113" spans="8:23" x14ac:dyDescent="0.25">
      <c r="H113" t="s">
        <v>20</v>
      </c>
      <c r="I113">
        <v>70</v>
      </c>
      <c r="J113">
        <v>10</v>
      </c>
      <c r="K113">
        <v>22</v>
      </c>
      <c r="L113" t="s">
        <v>114</v>
      </c>
      <c r="M113" t="e">
        <f>CV25</f>
        <v>#DIV/0!</v>
      </c>
    </row>
    <row r="114" spans="8:23" x14ac:dyDescent="0.25">
      <c r="H114" t="s">
        <v>21</v>
      </c>
      <c r="I114">
        <v>50</v>
      </c>
      <c r="J114">
        <v>50</v>
      </c>
      <c r="K114">
        <v>22</v>
      </c>
      <c r="L114" t="s">
        <v>114</v>
      </c>
      <c r="M114" t="e">
        <f>CW25</f>
        <v>#DIV/0!</v>
      </c>
    </row>
    <row r="115" spans="8:23" x14ac:dyDescent="0.25">
      <c r="H115" t="s">
        <v>22</v>
      </c>
      <c r="I115">
        <v>50</v>
      </c>
      <c r="J115">
        <v>30</v>
      </c>
      <c r="K115">
        <v>22</v>
      </c>
      <c r="L115" t="s">
        <v>114</v>
      </c>
      <c r="M115" t="e">
        <f>CX25</f>
        <v>#DIV/0!</v>
      </c>
    </row>
    <row r="116" spans="8:23" x14ac:dyDescent="0.25">
      <c r="H116" t="s">
        <v>23</v>
      </c>
      <c r="I116">
        <v>50</v>
      </c>
      <c r="J116">
        <v>10</v>
      </c>
      <c r="K116">
        <v>22</v>
      </c>
      <c r="L116" t="s">
        <v>114</v>
      </c>
      <c r="M116" t="e">
        <f>CY25</f>
        <v>#DIV/0!</v>
      </c>
    </row>
    <row r="117" spans="8:23" x14ac:dyDescent="0.25">
      <c r="H117" t="s">
        <v>24</v>
      </c>
      <c r="I117">
        <v>30</v>
      </c>
      <c r="J117">
        <v>50</v>
      </c>
      <c r="K117">
        <v>22</v>
      </c>
      <c r="L117" t="s">
        <v>114</v>
      </c>
      <c r="M117" t="e">
        <f>CZ25</f>
        <v>#DIV/0!</v>
      </c>
    </row>
    <row r="118" spans="8:23" x14ac:dyDescent="0.25">
      <c r="H118" t="s">
        <v>26</v>
      </c>
      <c r="I118">
        <v>30</v>
      </c>
      <c r="J118">
        <v>30</v>
      </c>
      <c r="K118">
        <v>22</v>
      </c>
      <c r="L118" t="s">
        <v>114</v>
      </c>
      <c r="M118" t="e">
        <f>DA25</f>
        <v>#DIV/0!</v>
      </c>
    </row>
    <row r="119" spans="8:23" x14ac:dyDescent="0.25">
      <c r="H119" t="s">
        <v>25</v>
      </c>
      <c r="I119">
        <v>30</v>
      </c>
      <c r="J119">
        <v>10</v>
      </c>
      <c r="K119">
        <v>22</v>
      </c>
      <c r="L119" t="s">
        <v>114</v>
      </c>
      <c r="M119" t="e">
        <f>DB25</f>
        <v>#DIV/0!</v>
      </c>
    </row>
    <row r="120" spans="8:23" x14ac:dyDescent="0.25">
      <c r="H120" t="s">
        <v>27</v>
      </c>
      <c r="I120">
        <v>10</v>
      </c>
      <c r="J120">
        <v>50</v>
      </c>
      <c r="K120">
        <v>22</v>
      </c>
      <c r="L120" t="s">
        <v>114</v>
      </c>
      <c r="M120" t="e">
        <f>DC25</f>
        <v>#DIV/0!</v>
      </c>
    </row>
    <row r="121" spans="8:23" x14ac:dyDescent="0.25">
      <c r="H121" t="s">
        <v>28</v>
      </c>
      <c r="I121">
        <v>10</v>
      </c>
      <c r="J121">
        <v>30</v>
      </c>
      <c r="K121">
        <v>22</v>
      </c>
      <c r="L121" t="s">
        <v>114</v>
      </c>
      <c r="M121" t="e">
        <f>DD25</f>
        <v>#DIV/0!</v>
      </c>
    </row>
    <row r="122" spans="8:23" x14ac:dyDescent="0.25">
      <c r="H122" t="s">
        <v>29</v>
      </c>
      <c r="I122">
        <v>10</v>
      </c>
      <c r="J122">
        <v>10</v>
      </c>
      <c r="K122">
        <v>22</v>
      </c>
      <c r="L122" t="s">
        <v>114</v>
      </c>
      <c r="M122" t="e">
        <f>DE25</f>
        <v>#DIV/0!</v>
      </c>
    </row>
    <row r="125" spans="8:23" x14ac:dyDescent="0.25">
      <c r="I125" t="s">
        <v>107</v>
      </c>
      <c r="J125" t="s">
        <v>30</v>
      </c>
      <c r="K125" t="s">
        <v>31</v>
      </c>
      <c r="N125" t="s">
        <v>11</v>
      </c>
      <c r="O125" t="s">
        <v>12</v>
      </c>
      <c r="P125" t="s">
        <v>15</v>
      </c>
      <c r="R125" t="s">
        <v>143</v>
      </c>
      <c r="S125" t="s">
        <v>724</v>
      </c>
      <c r="T125" t="s">
        <v>135</v>
      </c>
      <c r="U125" t="s">
        <v>136</v>
      </c>
      <c r="W125" t="s">
        <v>138</v>
      </c>
    </row>
    <row r="126" spans="8:23" x14ac:dyDescent="0.25">
      <c r="I126" s="16" t="s">
        <v>1139</v>
      </c>
      <c r="J126" s="17">
        <v>2629</v>
      </c>
      <c r="K126" s="17">
        <v>28.7</v>
      </c>
      <c r="N126">
        <v>80</v>
      </c>
      <c r="O126">
        <v>50</v>
      </c>
      <c r="P126">
        <v>20</v>
      </c>
      <c r="R126">
        <v>24</v>
      </c>
      <c r="S126" t="s">
        <v>1169</v>
      </c>
      <c r="T126">
        <v>1.28</v>
      </c>
      <c r="U126">
        <v>1.26</v>
      </c>
      <c r="W126">
        <v>0</v>
      </c>
    </row>
    <row r="127" spans="8:23" x14ac:dyDescent="0.25">
      <c r="I127" s="16" t="s">
        <v>1140</v>
      </c>
      <c r="J127" s="17">
        <v>3200</v>
      </c>
      <c r="K127" s="17">
        <v>35.6</v>
      </c>
      <c r="N127">
        <v>70</v>
      </c>
      <c r="O127">
        <v>30</v>
      </c>
      <c r="R127">
        <v>22</v>
      </c>
      <c r="S127" t="s">
        <v>1169</v>
      </c>
      <c r="T127" s="11">
        <v>1.2</v>
      </c>
      <c r="U127">
        <v>1.26</v>
      </c>
      <c r="W127">
        <v>90</v>
      </c>
    </row>
    <row r="128" spans="8:23" x14ac:dyDescent="0.25">
      <c r="I128" s="16" t="s">
        <v>1141</v>
      </c>
      <c r="J128" s="17">
        <v>4406</v>
      </c>
      <c r="K128" s="17">
        <v>47.6</v>
      </c>
      <c r="N128">
        <v>50</v>
      </c>
      <c r="O128">
        <v>10</v>
      </c>
      <c r="R128">
        <v>24</v>
      </c>
      <c r="S128" t="s">
        <v>1170</v>
      </c>
      <c r="T128">
        <v>1.28</v>
      </c>
      <c r="U128">
        <v>1.28</v>
      </c>
    </row>
    <row r="129" spans="9:21" x14ac:dyDescent="0.25">
      <c r="I129" s="16" t="s">
        <v>1142</v>
      </c>
      <c r="J129" s="17">
        <v>5249</v>
      </c>
      <c r="K129" s="17">
        <v>52.3</v>
      </c>
      <c r="N129">
        <v>30</v>
      </c>
      <c r="R129">
        <v>22</v>
      </c>
      <c r="S129" t="s">
        <v>1170</v>
      </c>
      <c r="T129">
        <v>1.22</v>
      </c>
      <c r="U129">
        <v>1.28</v>
      </c>
    </row>
    <row r="130" spans="9:21" x14ac:dyDescent="0.25">
      <c r="I130" s="16" t="s">
        <v>1143</v>
      </c>
      <c r="J130" s="17">
        <v>2865</v>
      </c>
      <c r="K130" s="17">
        <v>28.7</v>
      </c>
      <c r="N130">
        <v>10</v>
      </c>
      <c r="R130">
        <v>24</v>
      </c>
      <c r="S130" t="s">
        <v>114</v>
      </c>
      <c r="T130">
        <v>1.26</v>
      </c>
      <c r="U130">
        <v>1.28</v>
      </c>
    </row>
    <row r="131" spans="9:21" x14ac:dyDescent="0.25">
      <c r="I131" s="16" t="s">
        <v>1144</v>
      </c>
      <c r="J131" s="17">
        <v>3488</v>
      </c>
      <c r="K131" s="17">
        <v>35.6</v>
      </c>
      <c r="R131">
        <v>22</v>
      </c>
      <c r="S131" t="s">
        <v>114</v>
      </c>
      <c r="T131">
        <v>1.26</v>
      </c>
      <c r="U131">
        <v>1.28</v>
      </c>
    </row>
    <row r="132" spans="9:21" x14ac:dyDescent="0.25">
      <c r="I132" s="16" t="s">
        <v>1145</v>
      </c>
      <c r="J132" s="17">
        <v>4802</v>
      </c>
      <c r="K132" s="17">
        <v>47.6</v>
      </c>
    </row>
    <row r="133" spans="9:21" x14ac:dyDescent="0.25">
      <c r="I133" s="16" t="s">
        <v>1146</v>
      </c>
      <c r="J133" s="17">
        <v>5712</v>
      </c>
      <c r="K133" s="17">
        <v>52.1</v>
      </c>
    </row>
    <row r="134" spans="9:21" x14ac:dyDescent="0.25">
      <c r="I134" s="16" t="s">
        <v>1147</v>
      </c>
      <c r="J134" s="17">
        <v>2918</v>
      </c>
      <c r="K134" s="17">
        <v>28.7</v>
      </c>
    </row>
    <row r="135" spans="9:21" x14ac:dyDescent="0.25">
      <c r="I135" s="16" t="s">
        <v>1148</v>
      </c>
      <c r="J135" s="17">
        <v>3549</v>
      </c>
      <c r="K135" s="17">
        <v>35.5</v>
      </c>
    </row>
    <row r="136" spans="9:21" x14ac:dyDescent="0.25">
      <c r="I136" s="16" t="s">
        <v>1149</v>
      </c>
      <c r="J136" s="17">
        <v>4890</v>
      </c>
      <c r="K136" s="17">
        <v>47.6</v>
      </c>
    </row>
    <row r="137" spans="9:21" x14ac:dyDescent="0.25">
      <c r="I137" s="16" t="s">
        <v>1150</v>
      </c>
      <c r="J137" s="17">
        <v>5827</v>
      </c>
      <c r="K137" s="17">
        <v>52.1</v>
      </c>
    </row>
    <row r="138" spans="9:21" x14ac:dyDescent="0.25">
      <c r="I138" s="16" t="s">
        <v>1151</v>
      </c>
      <c r="J138" s="17">
        <v>2673</v>
      </c>
      <c r="K138" s="17">
        <v>28.7</v>
      </c>
    </row>
    <row r="139" spans="9:21" x14ac:dyDescent="0.25">
      <c r="I139" s="16" t="s">
        <v>1152</v>
      </c>
      <c r="J139" s="17">
        <v>3254</v>
      </c>
      <c r="K139" s="17">
        <v>35.6</v>
      </c>
    </row>
    <row r="140" spans="9:21" x14ac:dyDescent="0.25">
      <c r="I140" s="16" t="s">
        <v>1153</v>
      </c>
      <c r="J140" s="17">
        <v>4481</v>
      </c>
      <c r="K140" s="17">
        <v>47.6</v>
      </c>
    </row>
    <row r="141" spans="9:21" x14ac:dyDescent="0.25">
      <c r="I141" s="16" t="s">
        <v>1154</v>
      </c>
      <c r="J141" s="17">
        <v>5338</v>
      </c>
      <c r="K141" s="17">
        <v>52.3</v>
      </c>
    </row>
    <row r="142" spans="9:21" x14ac:dyDescent="0.25">
      <c r="I142" s="16" t="s">
        <v>1155</v>
      </c>
      <c r="J142" s="17">
        <v>2914</v>
      </c>
      <c r="K142" s="17">
        <v>28.7</v>
      </c>
    </row>
    <row r="143" spans="9:21" x14ac:dyDescent="0.25">
      <c r="I143" s="16" t="s">
        <v>1156</v>
      </c>
      <c r="J143" s="17">
        <v>3547</v>
      </c>
      <c r="K143" s="17">
        <v>35.6</v>
      </c>
    </row>
    <row r="144" spans="9:21" x14ac:dyDescent="0.25">
      <c r="I144" s="16" t="s">
        <v>1157</v>
      </c>
      <c r="J144" s="17">
        <v>4884</v>
      </c>
      <c r="K144" s="17">
        <v>47.6</v>
      </c>
    </row>
    <row r="145" spans="9:11" x14ac:dyDescent="0.25">
      <c r="I145" s="16" t="s">
        <v>1158</v>
      </c>
      <c r="J145" s="17">
        <v>5810</v>
      </c>
      <c r="K145" s="17">
        <v>52.1</v>
      </c>
    </row>
    <row r="146" spans="9:11" x14ac:dyDescent="0.25">
      <c r="I146" s="16" t="s">
        <v>1159</v>
      </c>
      <c r="J146" s="17">
        <v>2967</v>
      </c>
      <c r="K146" s="17">
        <v>28.7</v>
      </c>
    </row>
    <row r="147" spans="9:11" x14ac:dyDescent="0.25">
      <c r="I147" s="16" t="s">
        <v>1160</v>
      </c>
      <c r="J147" s="17">
        <v>3609</v>
      </c>
      <c r="K147" s="17">
        <v>35.5</v>
      </c>
    </row>
    <row r="148" spans="9:11" x14ac:dyDescent="0.25">
      <c r="I148" s="16" t="s">
        <v>1161</v>
      </c>
      <c r="J148" s="17">
        <v>4973</v>
      </c>
      <c r="K148" s="17">
        <v>47.6</v>
      </c>
    </row>
    <row r="149" spans="9:11" x14ac:dyDescent="0.25">
      <c r="I149" s="16" t="s">
        <v>1162</v>
      </c>
      <c r="J149" s="17">
        <v>5926</v>
      </c>
      <c r="K149" s="17">
        <v>52.1</v>
      </c>
    </row>
  </sheetData>
  <sheetProtection algorithmName="SHA-512" hashValue="iYTCjHAHZfSgW3G4Vx+/bbFr/AuRxMdtGfm13kvgjDuCrLvNSqosphmWTYsAddnzh/BjbrRHcN8wYCwyG7y+0g==" saltValue="SkMYILZ0J16g7u1mR0vyDw==" spinCount="100000" sheet="1" objects="1" scenarios="1" selectLockedCells="1"/>
  <mergeCells count="4">
    <mergeCell ref="A52:D55"/>
    <mergeCell ref="DH5:DJ5"/>
    <mergeCell ref="DH6:DJ6"/>
    <mergeCell ref="DH7:DJ7"/>
  </mergeCells>
  <conditionalFormatting sqref="C44">
    <cfRule type="cellIs" dxfId="81" priority="2" operator="greaterThan">
      <formula>$F$44</formula>
    </cfRule>
  </conditionalFormatting>
  <conditionalFormatting sqref="C45">
    <cfRule type="cellIs" dxfId="80" priority="1" operator="greaterThan">
      <formula>$F$45</formula>
    </cfRule>
  </conditionalFormatting>
  <dataValidations count="4">
    <dataValidation type="list" allowBlank="1" showInputMessage="1" showErrorMessage="1" sqref="C17" xr:uid="{01B75423-2928-4A9C-930C-A2AD279CEADB}">
      <formula1>$N$126:$N$130</formula1>
    </dataValidation>
    <dataValidation type="list" allowBlank="1" showInputMessage="1" showErrorMessage="1" sqref="C18" xr:uid="{899D1730-45CA-48C7-A20F-0DCF959A7191}">
      <formula1>$O$126:$O$128</formula1>
    </dataValidation>
    <dataValidation type="list" allowBlank="1" showInputMessage="1" showErrorMessage="1" sqref="C43" xr:uid="{8B25117B-B064-4A37-A126-C2B0C9B0F2A5}">
      <formula1>$W$126:$W$127</formula1>
    </dataValidation>
    <dataValidation type="list" allowBlank="1" showInputMessage="1" showErrorMessage="1" sqref="C21" xr:uid="{D613A5E0-F7FA-4A54-B55E-0D4F4C6AEF7E}">
      <formula1>$I$126:$I$149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D6CC-4252-42B2-BF37-DE1FC9E3BE26}">
  <sheetPr>
    <pageSetUpPr fitToPage="1"/>
  </sheetPr>
  <dimension ref="A5:BK122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7109375" customWidth="1"/>
    <col min="3" max="3" width="24.8554687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1214</v>
      </c>
      <c r="BH7" s="5" t="s">
        <v>1345</v>
      </c>
      <c r="BI7" s="37"/>
      <c r="BJ7" s="37"/>
      <c r="BK7" s="37"/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111</v>
      </c>
      <c r="AY13">
        <v>111</v>
      </c>
      <c r="AZ13">
        <v>111</v>
      </c>
      <c r="BA13">
        <v>106</v>
      </c>
      <c r="BB13">
        <v>106</v>
      </c>
      <c r="BC13">
        <v>106</v>
      </c>
      <c r="BD13">
        <v>102</v>
      </c>
      <c r="BE13">
        <v>102</v>
      </c>
      <c r="BF13">
        <v>102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105</v>
      </c>
      <c r="K14">
        <v>101</v>
      </c>
      <c r="L14">
        <v>97</v>
      </c>
      <c r="M14">
        <v>103</v>
      </c>
      <c r="N14">
        <v>99</v>
      </c>
      <c r="O14">
        <v>96</v>
      </c>
      <c r="P14">
        <v>98</v>
      </c>
      <c r="Q14">
        <v>95</v>
      </c>
      <c r="R14">
        <v>93</v>
      </c>
      <c r="S14">
        <v>95</v>
      </c>
      <c r="T14">
        <v>92</v>
      </c>
      <c r="U14">
        <v>90</v>
      </c>
      <c r="V14">
        <v>91</v>
      </c>
      <c r="W14">
        <v>89</v>
      </c>
      <c r="X14">
        <v>87</v>
      </c>
      <c r="Z14">
        <v>1</v>
      </c>
      <c r="AA14">
        <v>105</v>
      </c>
      <c r="AB14">
        <v>101</v>
      </c>
      <c r="AC14">
        <v>98</v>
      </c>
      <c r="AD14">
        <v>103</v>
      </c>
      <c r="AE14">
        <v>100</v>
      </c>
      <c r="AF14">
        <v>96</v>
      </c>
      <c r="AG14">
        <v>99</v>
      </c>
      <c r="AH14">
        <v>96</v>
      </c>
      <c r="AI14">
        <v>93</v>
      </c>
      <c r="AJ14">
        <v>95</v>
      </c>
      <c r="AK14">
        <v>93</v>
      </c>
      <c r="AL14">
        <v>90</v>
      </c>
      <c r="AM14">
        <v>91</v>
      </c>
      <c r="AN14">
        <v>90</v>
      </c>
      <c r="AO14">
        <v>88</v>
      </c>
      <c r="AQ14">
        <v>1</v>
      </c>
      <c r="AR14">
        <v>105</v>
      </c>
      <c r="AS14">
        <v>101</v>
      </c>
      <c r="AT14">
        <v>97</v>
      </c>
      <c r="AU14">
        <v>103</v>
      </c>
      <c r="AV14">
        <v>99</v>
      </c>
      <c r="AW14">
        <v>96</v>
      </c>
      <c r="AX14">
        <v>98</v>
      </c>
      <c r="AY14">
        <v>95</v>
      </c>
      <c r="AZ14">
        <v>93</v>
      </c>
      <c r="BA14">
        <v>95</v>
      </c>
      <c r="BB14">
        <v>92</v>
      </c>
      <c r="BC14">
        <v>90</v>
      </c>
      <c r="BD14">
        <v>91</v>
      </c>
      <c r="BE14">
        <v>89</v>
      </c>
      <c r="BF14">
        <v>87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93</v>
      </c>
      <c r="K15">
        <v>86</v>
      </c>
      <c r="L15">
        <v>81</v>
      </c>
      <c r="M15">
        <v>91</v>
      </c>
      <c r="N15">
        <v>85</v>
      </c>
      <c r="O15">
        <v>80</v>
      </c>
      <c r="P15">
        <v>87</v>
      </c>
      <c r="Q15">
        <v>82</v>
      </c>
      <c r="R15">
        <v>78</v>
      </c>
      <c r="S15">
        <v>84</v>
      </c>
      <c r="T15">
        <v>80</v>
      </c>
      <c r="U15">
        <v>76</v>
      </c>
      <c r="V15">
        <v>81</v>
      </c>
      <c r="W15">
        <v>78</v>
      </c>
      <c r="X15">
        <v>75</v>
      </c>
      <c r="Z15">
        <v>2</v>
      </c>
      <c r="AA15">
        <v>93</v>
      </c>
      <c r="AB15">
        <v>87</v>
      </c>
      <c r="AC15">
        <v>82</v>
      </c>
      <c r="AD15">
        <v>91</v>
      </c>
      <c r="AE15">
        <v>86</v>
      </c>
      <c r="AF15">
        <v>81</v>
      </c>
      <c r="AG15">
        <v>88</v>
      </c>
      <c r="AH15">
        <v>83</v>
      </c>
      <c r="AI15">
        <v>79</v>
      </c>
      <c r="AJ15">
        <v>85</v>
      </c>
      <c r="AK15">
        <v>81</v>
      </c>
      <c r="AL15">
        <v>77</v>
      </c>
      <c r="AM15">
        <v>82</v>
      </c>
      <c r="AN15">
        <v>78</v>
      </c>
      <c r="AO15">
        <v>75</v>
      </c>
      <c r="AQ15">
        <v>2</v>
      </c>
      <c r="AR15">
        <v>93</v>
      </c>
      <c r="AS15">
        <v>86</v>
      </c>
      <c r="AT15">
        <v>81</v>
      </c>
      <c r="AU15">
        <v>91</v>
      </c>
      <c r="AV15">
        <v>85</v>
      </c>
      <c r="AW15">
        <v>80</v>
      </c>
      <c r="AX15">
        <v>87</v>
      </c>
      <c r="AY15">
        <v>82</v>
      </c>
      <c r="AZ15">
        <v>78</v>
      </c>
      <c r="BA15">
        <v>84</v>
      </c>
      <c r="BB15">
        <v>80</v>
      </c>
      <c r="BC15">
        <v>76</v>
      </c>
      <c r="BD15">
        <v>81</v>
      </c>
      <c r="BE15">
        <v>78</v>
      </c>
      <c r="BF15">
        <v>75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82</v>
      </c>
      <c r="K16">
        <v>74</v>
      </c>
      <c r="L16">
        <v>68</v>
      </c>
      <c r="M16">
        <v>81</v>
      </c>
      <c r="N16">
        <v>73</v>
      </c>
      <c r="O16">
        <v>68</v>
      </c>
      <c r="P16">
        <v>78</v>
      </c>
      <c r="Q16">
        <v>72</v>
      </c>
      <c r="R16">
        <v>67</v>
      </c>
      <c r="S16">
        <v>75</v>
      </c>
      <c r="T16">
        <v>70</v>
      </c>
      <c r="U16">
        <v>65</v>
      </c>
      <c r="V16">
        <v>72</v>
      </c>
      <c r="W16">
        <v>68</v>
      </c>
      <c r="X16">
        <v>64</v>
      </c>
      <c r="Z16">
        <v>3</v>
      </c>
      <c r="AA16">
        <v>83</v>
      </c>
      <c r="AB16">
        <v>75</v>
      </c>
      <c r="AC16">
        <v>69</v>
      </c>
      <c r="AD16">
        <v>81</v>
      </c>
      <c r="AE16">
        <v>74</v>
      </c>
      <c r="AF16">
        <v>69</v>
      </c>
      <c r="AG16">
        <v>78</v>
      </c>
      <c r="AH16">
        <v>73</v>
      </c>
      <c r="AI16">
        <v>68</v>
      </c>
      <c r="AJ16">
        <v>76</v>
      </c>
      <c r="AK16">
        <v>71</v>
      </c>
      <c r="AL16">
        <v>66</v>
      </c>
      <c r="AM16">
        <v>73</v>
      </c>
      <c r="AN16">
        <v>69</v>
      </c>
      <c r="AO16">
        <v>65</v>
      </c>
      <c r="AQ16">
        <v>3</v>
      </c>
      <c r="AR16">
        <v>82</v>
      </c>
      <c r="AS16">
        <v>74</v>
      </c>
      <c r="AT16">
        <v>68</v>
      </c>
      <c r="AU16">
        <v>81</v>
      </c>
      <c r="AV16">
        <v>73</v>
      </c>
      <c r="AW16">
        <v>68</v>
      </c>
      <c r="AX16">
        <v>78</v>
      </c>
      <c r="AY16">
        <v>72</v>
      </c>
      <c r="AZ16">
        <v>67</v>
      </c>
      <c r="BA16">
        <v>75</v>
      </c>
      <c r="BB16">
        <v>70</v>
      </c>
      <c r="BC16">
        <v>65</v>
      </c>
      <c r="BD16">
        <v>72</v>
      </c>
      <c r="BE16">
        <v>68</v>
      </c>
      <c r="BF16">
        <v>64</v>
      </c>
    </row>
    <row r="17" spans="1:63" x14ac:dyDescent="0.25">
      <c r="B17" t="s">
        <v>5</v>
      </c>
      <c r="C17" s="22">
        <v>80</v>
      </c>
      <c r="I17">
        <v>4</v>
      </c>
      <c r="J17">
        <v>73</v>
      </c>
      <c r="K17">
        <v>65</v>
      </c>
      <c r="L17">
        <v>59</v>
      </c>
      <c r="M17">
        <v>72</v>
      </c>
      <c r="N17">
        <v>64</v>
      </c>
      <c r="O17">
        <v>58</v>
      </c>
      <c r="P17">
        <v>70</v>
      </c>
      <c r="Q17">
        <v>63</v>
      </c>
      <c r="R17">
        <v>58</v>
      </c>
      <c r="S17">
        <v>67</v>
      </c>
      <c r="T17">
        <v>61</v>
      </c>
      <c r="U17">
        <v>57</v>
      </c>
      <c r="V17">
        <v>65</v>
      </c>
      <c r="W17">
        <v>60</v>
      </c>
      <c r="X17">
        <v>56</v>
      </c>
      <c r="Z17">
        <v>4</v>
      </c>
      <c r="AA17">
        <v>74</v>
      </c>
      <c r="AB17">
        <v>66</v>
      </c>
      <c r="AC17">
        <v>60</v>
      </c>
      <c r="AD17">
        <v>73</v>
      </c>
      <c r="AE17">
        <v>65</v>
      </c>
      <c r="AF17">
        <v>60</v>
      </c>
      <c r="AG17">
        <v>71</v>
      </c>
      <c r="AH17">
        <v>64</v>
      </c>
      <c r="AI17">
        <v>59</v>
      </c>
      <c r="AJ17">
        <v>68</v>
      </c>
      <c r="AK17">
        <v>63</v>
      </c>
      <c r="AL17">
        <v>58</v>
      </c>
      <c r="AM17">
        <v>66</v>
      </c>
      <c r="AN17">
        <v>61</v>
      </c>
      <c r="AO17">
        <v>57</v>
      </c>
      <c r="AQ17">
        <v>4</v>
      </c>
      <c r="AR17">
        <v>73</v>
      </c>
      <c r="AS17">
        <v>65</v>
      </c>
      <c r="AT17">
        <v>59</v>
      </c>
      <c r="AU17">
        <v>72</v>
      </c>
      <c r="AV17">
        <v>64</v>
      </c>
      <c r="AW17">
        <v>58</v>
      </c>
      <c r="AX17">
        <v>70</v>
      </c>
      <c r="AY17">
        <v>63</v>
      </c>
      <c r="AZ17">
        <v>58</v>
      </c>
      <c r="BA17">
        <v>67</v>
      </c>
      <c r="BB17">
        <v>61</v>
      </c>
      <c r="BC17">
        <v>57</v>
      </c>
      <c r="BD17">
        <v>65</v>
      </c>
      <c r="BE17">
        <v>60</v>
      </c>
      <c r="BF17">
        <v>56</v>
      </c>
    </row>
    <row r="18" spans="1:63" x14ac:dyDescent="0.25">
      <c r="B18" t="s">
        <v>6</v>
      </c>
      <c r="C18" s="22">
        <v>50</v>
      </c>
      <c r="I18">
        <v>5</v>
      </c>
      <c r="J18">
        <v>66</v>
      </c>
      <c r="K18">
        <v>57</v>
      </c>
      <c r="L18">
        <v>51</v>
      </c>
      <c r="M18">
        <v>65</v>
      </c>
      <c r="N18">
        <v>57</v>
      </c>
      <c r="O18">
        <v>51</v>
      </c>
      <c r="P18">
        <v>63</v>
      </c>
      <c r="Q18">
        <v>56</v>
      </c>
      <c r="R18">
        <v>50</v>
      </c>
      <c r="S18">
        <v>61</v>
      </c>
      <c r="T18">
        <v>55</v>
      </c>
      <c r="U18">
        <v>50</v>
      </c>
      <c r="V18">
        <v>59</v>
      </c>
      <c r="W18">
        <v>54</v>
      </c>
      <c r="X18">
        <v>49</v>
      </c>
      <c r="Z18">
        <v>5</v>
      </c>
      <c r="AA18">
        <v>67</v>
      </c>
      <c r="AB18">
        <v>59</v>
      </c>
      <c r="AC18">
        <v>52</v>
      </c>
      <c r="AD18">
        <v>66</v>
      </c>
      <c r="AE18">
        <v>58</v>
      </c>
      <c r="AF18">
        <v>52</v>
      </c>
      <c r="AG18">
        <v>64</v>
      </c>
      <c r="AH18">
        <v>57</v>
      </c>
      <c r="AI18">
        <v>52</v>
      </c>
      <c r="AJ18">
        <v>62</v>
      </c>
      <c r="AK18">
        <v>56</v>
      </c>
      <c r="AL18">
        <v>51</v>
      </c>
      <c r="AM18">
        <v>60</v>
      </c>
      <c r="AN18">
        <v>55</v>
      </c>
      <c r="AO18">
        <v>50</v>
      </c>
      <c r="AQ18">
        <v>5</v>
      </c>
      <c r="AR18">
        <v>66</v>
      </c>
      <c r="AS18">
        <v>57</v>
      </c>
      <c r="AT18">
        <v>51</v>
      </c>
      <c r="AU18">
        <v>65</v>
      </c>
      <c r="AV18">
        <v>57</v>
      </c>
      <c r="AW18">
        <v>51</v>
      </c>
      <c r="AX18">
        <v>63</v>
      </c>
      <c r="AY18">
        <v>56</v>
      </c>
      <c r="AZ18">
        <v>50</v>
      </c>
      <c r="BA18">
        <v>61</v>
      </c>
      <c r="BB18">
        <v>55</v>
      </c>
      <c r="BC18">
        <v>50</v>
      </c>
      <c r="BD18">
        <v>59</v>
      </c>
      <c r="BE18">
        <v>54</v>
      </c>
      <c r="BF18">
        <v>49</v>
      </c>
    </row>
    <row r="19" spans="1:63" x14ac:dyDescent="0.25">
      <c r="B19" t="s">
        <v>7</v>
      </c>
      <c r="C19">
        <v>20</v>
      </c>
      <c r="I19">
        <v>6</v>
      </c>
      <c r="J19">
        <v>60</v>
      </c>
      <c r="K19">
        <v>51</v>
      </c>
      <c r="L19">
        <v>45</v>
      </c>
      <c r="M19">
        <v>59</v>
      </c>
      <c r="N19">
        <v>51</v>
      </c>
      <c r="O19">
        <v>45</v>
      </c>
      <c r="P19">
        <v>57</v>
      </c>
      <c r="Q19">
        <v>50</v>
      </c>
      <c r="R19">
        <v>44</v>
      </c>
      <c r="S19">
        <v>55</v>
      </c>
      <c r="T19">
        <v>49</v>
      </c>
      <c r="U19">
        <v>44</v>
      </c>
      <c r="V19">
        <v>54</v>
      </c>
      <c r="W19">
        <v>48</v>
      </c>
      <c r="X19">
        <v>44</v>
      </c>
      <c r="Z19">
        <v>6</v>
      </c>
      <c r="AA19">
        <v>61</v>
      </c>
      <c r="AB19">
        <v>52</v>
      </c>
      <c r="AC19">
        <v>46</v>
      </c>
      <c r="AD19">
        <v>60</v>
      </c>
      <c r="AE19">
        <v>52</v>
      </c>
      <c r="AF19">
        <v>46</v>
      </c>
      <c r="AG19">
        <v>58</v>
      </c>
      <c r="AH19">
        <v>51</v>
      </c>
      <c r="AI19">
        <v>46</v>
      </c>
      <c r="AJ19">
        <v>56</v>
      </c>
      <c r="AK19">
        <v>50</v>
      </c>
      <c r="AL19">
        <v>45</v>
      </c>
      <c r="AM19">
        <v>55</v>
      </c>
      <c r="AN19">
        <v>49</v>
      </c>
      <c r="AO19">
        <v>45</v>
      </c>
      <c r="AQ19">
        <v>6</v>
      </c>
      <c r="AR19">
        <v>60</v>
      </c>
      <c r="AS19">
        <v>51</v>
      </c>
      <c r="AT19">
        <v>45</v>
      </c>
      <c r="AU19">
        <v>59</v>
      </c>
      <c r="AV19">
        <v>51</v>
      </c>
      <c r="AW19">
        <v>45</v>
      </c>
      <c r="AX19">
        <v>57</v>
      </c>
      <c r="AY19">
        <v>50</v>
      </c>
      <c r="AZ19">
        <v>44</v>
      </c>
      <c r="BA19">
        <v>55</v>
      </c>
      <c r="BB19">
        <v>49</v>
      </c>
      <c r="BC19">
        <v>44</v>
      </c>
      <c r="BD19">
        <v>54</v>
      </c>
      <c r="BE19">
        <v>48</v>
      </c>
      <c r="BF19">
        <v>44</v>
      </c>
    </row>
    <row r="20" spans="1:63" x14ac:dyDescent="0.25">
      <c r="I20">
        <v>7</v>
      </c>
      <c r="J20">
        <v>54</v>
      </c>
      <c r="K20">
        <v>46</v>
      </c>
      <c r="L20">
        <v>40</v>
      </c>
      <c r="M20">
        <v>54</v>
      </c>
      <c r="N20">
        <v>46</v>
      </c>
      <c r="O20">
        <v>40</v>
      </c>
      <c r="P20">
        <v>52</v>
      </c>
      <c r="Q20">
        <v>45</v>
      </c>
      <c r="R20">
        <v>40</v>
      </c>
      <c r="S20">
        <v>51</v>
      </c>
      <c r="T20">
        <v>44</v>
      </c>
      <c r="U20">
        <v>39</v>
      </c>
      <c r="V20">
        <v>49</v>
      </c>
      <c r="W20">
        <v>44</v>
      </c>
      <c r="X20">
        <v>39</v>
      </c>
      <c r="Z20">
        <v>7</v>
      </c>
      <c r="AA20">
        <v>55</v>
      </c>
      <c r="AB20">
        <v>47</v>
      </c>
      <c r="AC20">
        <v>41</v>
      </c>
      <c r="AD20">
        <v>55</v>
      </c>
      <c r="AE20">
        <v>47</v>
      </c>
      <c r="AF20">
        <v>41</v>
      </c>
      <c r="AG20">
        <v>53</v>
      </c>
      <c r="AH20">
        <v>46</v>
      </c>
      <c r="AI20">
        <v>41</v>
      </c>
      <c r="AJ20">
        <v>52</v>
      </c>
      <c r="AK20">
        <v>45</v>
      </c>
      <c r="AL20">
        <v>41</v>
      </c>
      <c r="AM20">
        <v>50</v>
      </c>
      <c r="AN20">
        <v>45</v>
      </c>
      <c r="AO20">
        <v>40</v>
      </c>
      <c r="AQ20">
        <v>7</v>
      </c>
      <c r="AR20">
        <v>54</v>
      </c>
      <c r="AS20">
        <v>46</v>
      </c>
      <c r="AT20">
        <v>40</v>
      </c>
      <c r="AU20">
        <v>54</v>
      </c>
      <c r="AV20">
        <v>46</v>
      </c>
      <c r="AW20">
        <v>40</v>
      </c>
      <c r="AX20">
        <v>52</v>
      </c>
      <c r="AY20">
        <v>45</v>
      </c>
      <c r="AZ20">
        <v>40</v>
      </c>
      <c r="BA20">
        <v>51</v>
      </c>
      <c r="BB20">
        <v>44</v>
      </c>
      <c r="BC20">
        <v>39</v>
      </c>
      <c r="BD20">
        <v>49</v>
      </c>
      <c r="BE20">
        <v>44</v>
      </c>
      <c r="BF20">
        <v>39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50</v>
      </c>
      <c r="K21">
        <v>42</v>
      </c>
      <c r="L21">
        <v>36</v>
      </c>
      <c r="M21">
        <v>49</v>
      </c>
      <c r="N21">
        <v>41</v>
      </c>
      <c r="O21">
        <v>36</v>
      </c>
      <c r="P21">
        <v>48</v>
      </c>
      <c r="Q21">
        <v>41</v>
      </c>
      <c r="R21">
        <v>36</v>
      </c>
      <c r="S21">
        <v>47</v>
      </c>
      <c r="T21">
        <v>40</v>
      </c>
      <c r="U21">
        <v>35</v>
      </c>
      <c r="V21">
        <v>45</v>
      </c>
      <c r="W21">
        <v>40</v>
      </c>
      <c r="X21">
        <v>35</v>
      </c>
      <c r="Z21">
        <v>8</v>
      </c>
      <c r="AA21">
        <v>51</v>
      </c>
      <c r="AB21">
        <v>43</v>
      </c>
      <c r="AC21">
        <v>37</v>
      </c>
      <c r="AD21">
        <v>50</v>
      </c>
      <c r="AE21">
        <v>42</v>
      </c>
      <c r="AF21">
        <v>37</v>
      </c>
      <c r="AG21">
        <v>49</v>
      </c>
      <c r="AH21">
        <v>42</v>
      </c>
      <c r="AI21">
        <v>37</v>
      </c>
      <c r="AJ21">
        <v>48</v>
      </c>
      <c r="AK21">
        <v>41</v>
      </c>
      <c r="AL21">
        <v>37</v>
      </c>
      <c r="AM21">
        <v>46</v>
      </c>
      <c r="AN21">
        <v>41</v>
      </c>
      <c r="AO21">
        <v>36</v>
      </c>
      <c r="AQ21">
        <v>8</v>
      </c>
      <c r="AR21">
        <v>50</v>
      </c>
      <c r="AS21">
        <v>42</v>
      </c>
      <c r="AT21">
        <v>36</v>
      </c>
      <c r="AU21">
        <v>49</v>
      </c>
      <c r="AV21">
        <v>41</v>
      </c>
      <c r="AW21">
        <v>36</v>
      </c>
      <c r="AX21">
        <v>48</v>
      </c>
      <c r="AY21">
        <v>41</v>
      </c>
      <c r="AZ21">
        <v>36</v>
      </c>
      <c r="BA21">
        <v>47</v>
      </c>
      <c r="BB21">
        <v>40</v>
      </c>
      <c r="BC21">
        <v>35</v>
      </c>
      <c r="BD21">
        <v>45</v>
      </c>
      <c r="BE21">
        <v>40</v>
      </c>
      <c r="BF21">
        <v>35</v>
      </c>
    </row>
    <row r="22" spans="1:63" x14ac:dyDescent="0.25">
      <c r="B22" t="s">
        <v>30</v>
      </c>
      <c r="C22" s="4" t="e">
        <f>VLOOKUP(C21,Model5169[],2,0)</f>
        <v>#N/A</v>
      </c>
      <c r="D22" t="s">
        <v>131</v>
      </c>
      <c r="I22">
        <v>9</v>
      </c>
      <c r="J22">
        <v>46</v>
      </c>
      <c r="K22">
        <v>38</v>
      </c>
      <c r="L22">
        <v>33</v>
      </c>
      <c r="M22">
        <v>45</v>
      </c>
      <c r="N22">
        <v>38</v>
      </c>
      <c r="O22">
        <v>32</v>
      </c>
      <c r="P22">
        <v>44</v>
      </c>
      <c r="Q22">
        <v>37</v>
      </c>
      <c r="R22">
        <v>32</v>
      </c>
      <c r="S22">
        <v>43</v>
      </c>
      <c r="T22">
        <v>37</v>
      </c>
      <c r="U22">
        <v>32</v>
      </c>
      <c r="V22">
        <v>42</v>
      </c>
      <c r="W22">
        <v>36</v>
      </c>
      <c r="X22">
        <v>32</v>
      </c>
      <c r="Z22">
        <v>9</v>
      </c>
      <c r="AA22">
        <v>47</v>
      </c>
      <c r="AB22">
        <v>39</v>
      </c>
      <c r="AC22">
        <v>34</v>
      </c>
      <c r="AD22">
        <v>46</v>
      </c>
      <c r="AE22">
        <v>39</v>
      </c>
      <c r="AF22">
        <v>34</v>
      </c>
      <c r="AG22">
        <v>45</v>
      </c>
      <c r="AH22">
        <v>38</v>
      </c>
      <c r="AI22">
        <v>33</v>
      </c>
      <c r="AJ22">
        <v>44</v>
      </c>
      <c r="AK22">
        <v>38</v>
      </c>
      <c r="AL22">
        <v>33</v>
      </c>
      <c r="AM22">
        <v>43</v>
      </c>
      <c r="AN22">
        <v>37</v>
      </c>
      <c r="AO22">
        <v>33</v>
      </c>
      <c r="AQ22">
        <v>9</v>
      </c>
      <c r="AR22">
        <v>46</v>
      </c>
      <c r="AS22">
        <v>38</v>
      </c>
      <c r="AT22">
        <v>33</v>
      </c>
      <c r="AU22">
        <v>45</v>
      </c>
      <c r="AV22">
        <v>38</v>
      </c>
      <c r="AW22">
        <v>32</v>
      </c>
      <c r="AX22">
        <v>44</v>
      </c>
      <c r="AY22">
        <v>37</v>
      </c>
      <c r="AZ22">
        <v>32</v>
      </c>
      <c r="BA22">
        <v>43</v>
      </c>
      <c r="BB22">
        <v>37</v>
      </c>
      <c r="BC22">
        <v>32</v>
      </c>
      <c r="BD22">
        <v>42</v>
      </c>
      <c r="BE22">
        <v>36</v>
      </c>
      <c r="BF22">
        <v>32</v>
      </c>
    </row>
    <row r="23" spans="1:63" x14ac:dyDescent="0.25">
      <c r="B23" t="s">
        <v>31</v>
      </c>
      <c r="C23" t="e">
        <f>VLOOKUP(C21,Model5169[],3,FALSE)</f>
        <v>#N/A</v>
      </c>
      <c r="D23" t="s">
        <v>132</v>
      </c>
      <c r="I23">
        <v>10</v>
      </c>
      <c r="J23">
        <v>42</v>
      </c>
      <c r="K23">
        <v>35</v>
      </c>
      <c r="L23">
        <v>30</v>
      </c>
      <c r="M23">
        <v>42</v>
      </c>
      <c r="N23">
        <v>34</v>
      </c>
      <c r="O23">
        <v>30</v>
      </c>
      <c r="P23">
        <v>41</v>
      </c>
      <c r="Q23">
        <v>34</v>
      </c>
      <c r="R23">
        <v>29</v>
      </c>
      <c r="S23">
        <v>40</v>
      </c>
      <c r="T23">
        <v>34</v>
      </c>
      <c r="U23">
        <v>29</v>
      </c>
      <c r="V23">
        <v>39</v>
      </c>
      <c r="W23">
        <v>33</v>
      </c>
      <c r="X23">
        <v>29</v>
      </c>
      <c r="Z23">
        <v>10</v>
      </c>
      <c r="AA23">
        <v>43</v>
      </c>
      <c r="AB23">
        <v>36</v>
      </c>
      <c r="AC23">
        <v>31</v>
      </c>
      <c r="AD23">
        <v>43</v>
      </c>
      <c r="AE23">
        <v>36</v>
      </c>
      <c r="AF23">
        <v>31</v>
      </c>
      <c r="AG23">
        <v>42</v>
      </c>
      <c r="AH23">
        <v>35</v>
      </c>
      <c r="AI23">
        <v>30</v>
      </c>
      <c r="AJ23">
        <v>41</v>
      </c>
      <c r="AK23">
        <v>35</v>
      </c>
      <c r="AL23">
        <v>30</v>
      </c>
      <c r="AM23">
        <v>40</v>
      </c>
      <c r="AN23">
        <v>34</v>
      </c>
      <c r="AO23">
        <v>30</v>
      </c>
      <c r="AQ23">
        <v>10</v>
      </c>
      <c r="AR23">
        <v>42</v>
      </c>
      <c r="AS23">
        <v>35</v>
      </c>
      <c r="AT23">
        <v>30</v>
      </c>
      <c r="AU23">
        <v>42</v>
      </c>
      <c r="AV23">
        <v>34</v>
      </c>
      <c r="AW23">
        <v>30</v>
      </c>
      <c r="AX23">
        <v>41</v>
      </c>
      <c r="AY23">
        <v>34</v>
      </c>
      <c r="AZ23">
        <v>29</v>
      </c>
      <c r="BA23">
        <v>40</v>
      </c>
      <c r="BB23">
        <v>34</v>
      </c>
      <c r="BC23">
        <v>29</v>
      </c>
      <c r="BD23">
        <v>39</v>
      </c>
      <c r="BE23">
        <v>33</v>
      </c>
      <c r="BF23">
        <v>29</v>
      </c>
    </row>
    <row r="24" spans="1:63" x14ac:dyDescent="0.25">
      <c r="B24" t="s">
        <v>3</v>
      </c>
      <c r="C24" s="11" t="e">
        <f t="array" ref="C24">INDEX(CUtable4168[],MATCH(1,(CUtable4168[RC]=C17)*(CUtable4168[RW]=C18)*(CUtable4168[Size]=E21),0),4)</f>
        <v>#DIV/0!</v>
      </c>
      <c r="H24" s="5"/>
    </row>
    <row r="25" spans="1:63" x14ac:dyDescent="0.25">
      <c r="B25" t="s">
        <v>133</v>
      </c>
      <c r="C25" s="11">
        <f>VLOOKUP(E21,Table81217173[],2,FALSE)</f>
        <v>1.26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</row>
    <row r="26" spans="1:63" x14ac:dyDescent="0.25">
      <c r="B26" t="s">
        <v>134</v>
      </c>
      <c r="C26" s="11">
        <f>VLOOKUP(E21,Table81217173[],3,FALSE)</f>
        <v>1.24</v>
      </c>
      <c r="H26" s="5"/>
      <c r="I26" t="s">
        <v>218</v>
      </c>
      <c r="J26">
        <f>INDEX(LINEST(Table2x4167[CU],Table2x4167[RCR]^{1,2,3}),1)</f>
        <v>-3.5742035742036063E-2</v>
      </c>
      <c r="K26">
        <f>INDEX(LINEST(Table2x4167[CU1],Table2x4167[RCR]^{1,2,3}),1)</f>
        <v>-6.4879564879565518E-2</v>
      </c>
      <c r="L26">
        <f>INDEX(LINEST(Table2x4167[CU2],Table2x4167[RCR]^{1,2,3}),1)</f>
        <v>-8.8578088578088965E-2</v>
      </c>
      <c r="M26">
        <f>INDEX(LINEST(Table2x4167[CU3],Table2x4167[RCR]^{1,2,3}),1)</f>
        <v>-2.8166278166278633E-2</v>
      </c>
      <c r="N26">
        <f>INDEX(LINEST(Table2x4167[CU4],Table2x4167[RCR]^{1,2,3}),1)</f>
        <v>-6.2742812742813056E-2</v>
      </c>
      <c r="O26">
        <f>INDEX(LINEST(Table2x4167[CU5],Table2x4167[RCR]^{1,2,3}),1)</f>
        <v>-7.8088578088578595E-2</v>
      </c>
      <c r="P26">
        <f>INDEX(LINEST(Table2x4167[CU6],Table2x4167[RCR]^{1,2,3}),1)</f>
        <v>-2.6806526806527127E-2</v>
      </c>
      <c r="Q26">
        <f>INDEX(LINEST(Table2x4167[CU7],Table2x4167[RCR]^{1,2,3}),1)</f>
        <v>-4.992229992230026E-2</v>
      </c>
      <c r="R26">
        <f>INDEX(LINEST(Table2x4167[CU8],Table2x4167[RCR]^{1,2,3}),1)</f>
        <v>-6.8570318570319103E-2</v>
      </c>
      <c r="S26">
        <f>INDEX(LINEST(Table2x4167[CU9],Table2x4167[RCR]^{1,2,3}),1)</f>
        <v>-2.6029526029526222E-2</v>
      </c>
      <c r="T26">
        <f>INDEX(LINEST(Table2x4167[CU10],Table2x4167[RCR]^{1,2,3}),1)</f>
        <v>-3.5742035742036118E-2</v>
      </c>
      <c r="U26">
        <f>INDEX(LINEST(Table2x4167[CU11],Table2x4167[RCR]^{1,2,3}),1)</f>
        <v>-5.4390054390054739E-2</v>
      </c>
      <c r="V26">
        <f>INDEX(LINEST(Table2x4167[CU12],Table2x4167[RCR]^{1,2,3}),1)</f>
        <v>-2.3504273504273514E-2</v>
      </c>
      <c r="W26">
        <f>INDEX(LINEST(Table2x4167[CU13],Table2x4167[RCR]^{1,2,3}),1)</f>
        <v>-3.8073038073038322E-2</v>
      </c>
      <c r="X26">
        <f>INDEX(LINEST(Table2x4167[CU14],Table2x4167[RCR]^{1,2,3}),1)</f>
        <v>-4.6037296037296428E-2</v>
      </c>
      <c r="Z26" t="s">
        <v>218</v>
      </c>
      <c r="AA26">
        <f>INDEX(LINEST(Table2x2174[CU],Table2x2174[RCR]^{1,2,3}),1)</f>
        <v>-3.5353535353535373E-2</v>
      </c>
      <c r="AB26">
        <f>INDEX(LINEST(Table2x2174[CU1],Table2x2174[RCR]^{1,2,3}),1)</f>
        <v>-6.021756021756066E-2</v>
      </c>
      <c r="AC26">
        <f>INDEX(LINEST(Table2x2174[CU2],Table2x2174[RCR]^{1,2,3}),1)</f>
        <v>-8.2750582750583127E-2</v>
      </c>
      <c r="AD26">
        <f>INDEX(LINEST(Table2x2174[CU3],Table2x2174[RCR]^{1,2,3}),1)</f>
        <v>-3.2245532245532699E-2</v>
      </c>
      <c r="AE26">
        <f>INDEX(LINEST(Table2x2174[CU4],Table2x2174[RCR]^{1,2,3}),1)</f>
        <v>-5.1087801087801428E-2</v>
      </c>
      <c r="AF26">
        <f>INDEX(LINEST(Table2x2174[CU5],Table2x2174[RCR]^{1,2,3}),1)</f>
        <v>-7.1872571872572497E-2</v>
      </c>
      <c r="AG26">
        <f>INDEX(LINEST(Table2x2174[CU6],Table2x2174[RCR]^{1,2,3}),1)</f>
        <v>-2.5446775446775656E-2</v>
      </c>
      <c r="AH26">
        <f>INDEX(LINEST(Table2x2174[CU7],Table2x2174[RCR]^{1,2,3}),1)</f>
        <v>-4.4094794094794491E-2</v>
      </c>
      <c r="AI26">
        <f>INDEX(LINEST(Table2x2174[CU8],Table2x2174[RCR]^{1,2,3}),1)</f>
        <v>-6.6627816627816916E-2</v>
      </c>
      <c r="AJ26">
        <f>INDEX(LINEST(Table2x2174[CU9],Table2x2174[RCR]^{1,2,3}),1)</f>
        <v>-2.1367521367521708E-2</v>
      </c>
      <c r="AK26">
        <f>INDEX(LINEST(Table2x2174[CU10],Table2x2174[RCR]^{1,2,3}),1)</f>
        <v>-2.7195027195027519E-2</v>
      </c>
      <c r="AL26">
        <f>INDEX(LINEST(Table2x2174[CU11],Table2x2174[RCR]^{1,2,3}),1)</f>
        <v>-5.8469308469308791E-2</v>
      </c>
      <c r="AM26">
        <f>INDEX(LINEST(Table2x2174[CU12],Table2x2174[RCR]^{1,2,3}),1)</f>
        <v>-1.8842268842268972E-2</v>
      </c>
      <c r="AN26">
        <f>INDEX(LINEST(Table2x2174[CU13],Table2x2174[RCR]^{1,2,3}),1)</f>
        <v>-3.651903651903677E-2</v>
      </c>
      <c r="AO26">
        <f>INDEX(LINEST(Table2x2174[CU14],Table2x2174[RCR]^{1,2,3}),1)</f>
        <v>-4.4483294483294876E-2</v>
      </c>
      <c r="AQ26" t="s">
        <v>218</v>
      </c>
      <c r="AR26">
        <f>INDEX(LINEST(Table1x4176[CU],Table1x4176[RCR]^{1,2,3}),1)</f>
        <v>-3.5742035742036063E-2</v>
      </c>
      <c r="AS26">
        <f>INDEX(LINEST(Table1x4176[CU1],Table1x4176[RCR]^{1,2,3}),1)</f>
        <v>-6.4879564879565518E-2</v>
      </c>
      <c r="AT26">
        <f>INDEX(LINEST(Table1x4176[CU2],Table1x4176[RCR]^{1,2,3}),1)</f>
        <v>-8.8578088578088965E-2</v>
      </c>
      <c r="AU26">
        <f>INDEX(LINEST(Table1x4176[CU3],Table1x4176[RCR]^{1,2,3}),1)</f>
        <v>-2.8166278166278633E-2</v>
      </c>
      <c r="AV26">
        <f>INDEX(LINEST(Table1x4176[CU4],Table1x4176[RCR]^{1,2,3}),1)</f>
        <v>-6.2742812742813056E-2</v>
      </c>
      <c r="AW26">
        <f>INDEX(LINEST(Table1x4176[CU5],Table1x4176[RCR]^{1,2,3}),1)</f>
        <v>-7.8088578088578595E-2</v>
      </c>
      <c r="AX26">
        <f>INDEX(LINEST(Table1x4176[CU6],Table1x4176[RCR]^{1,2,3}),1)</f>
        <v>-2.6806526806527127E-2</v>
      </c>
      <c r="AY26">
        <f>INDEX(LINEST(Table1x4176[CU7],Table1x4176[RCR]^{1,2,3}),1)</f>
        <v>-4.992229992230026E-2</v>
      </c>
      <c r="AZ26">
        <f>INDEX(LINEST(Table1x4176[CU8],Table1x4176[RCR]^{1,2,3}),1)</f>
        <v>-6.8570318570319103E-2</v>
      </c>
      <c r="BA26">
        <f>INDEX(LINEST(Table1x4176[CU9],Table1x4176[RCR]^{1,2,3}),1)</f>
        <v>-2.6029526029526222E-2</v>
      </c>
      <c r="BB26">
        <f>INDEX(LINEST(Table1x4176[CU10],Table1x4176[RCR]^{1,2,3}),1)</f>
        <v>-3.5742035742036118E-2</v>
      </c>
      <c r="BC26">
        <f>INDEX(LINEST(Table1x4176[CU11],Table1x4176[RCR]^{1,2,3}),1)</f>
        <v>-5.4390054390054739E-2</v>
      </c>
      <c r="BD26">
        <f>INDEX(LINEST(Table1x4176[CU12],Table1x4176[RCR]^{1,2,3}),1)</f>
        <v>-2.3504273504273514E-2</v>
      </c>
      <c r="BE26">
        <f>INDEX(LINEST(Table1x4176[CU13],Table1x4176[RCR]^{1,2,3}),1)</f>
        <v>-3.8073038073038322E-2</v>
      </c>
      <c r="BF26">
        <f>INDEX(LINEST(Table1x4176[CU14],Table1x4176[RCR]^{1,2,3}),1)</f>
        <v>-4.6037296037296428E-2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INDEX(LINEST(Table2x4167[CU],Table2x4167[RCR]^{1,2,3}),1,2)</f>
        <v>1.1247086247086286</v>
      </c>
      <c r="K27">
        <f>INDEX(LINEST(Table2x4167[CU1],Table2x4167[RCR]^{1,2,3}),1,2)</f>
        <v>1.7680652680652769</v>
      </c>
      <c r="L27">
        <f>INDEX(LINEST(Table2x4167[CU2],Table2x4167[RCR]^{1,2,3}),1,2)</f>
        <v>2.2657342657342712</v>
      </c>
      <c r="M27">
        <f>INDEX(LINEST(Table2x4167[CU3],Table2x4167[RCR]^{1,2,3}),1,2)</f>
        <v>0.98076923076923817</v>
      </c>
      <c r="N27">
        <f>INDEX(LINEST(Table2x4167[CU4],Table2x4167[RCR]^{1,2,3}),1,2)</f>
        <v>1.6719114219114259</v>
      </c>
      <c r="O27">
        <f>INDEX(LINEST(Table2x4167[CU5],Table2x4167[RCR]^{1,2,3}),1,2)</f>
        <v>2.053613053613061</v>
      </c>
      <c r="P27">
        <f>INDEX(LINEST(Table2x4167[CU6],Table2x4167[RCR]^{1,2,3}),1,2)</f>
        <v>0.91958041958042402</v>
      </c>
      <c r="Q27">
        <f>INDEX(LINEST(Table2x4167[CU7],Table2x4167[RCR]^{1,2,3}),1,2)</f>
        <v>1.4073426573426613</v>
      </c>
      <c r="R27">
        <f>INDEX(LINEST(Table2x4167[CU8],Table2x4167[RCR]^{1,2,3}),1,2)</f>
        <v>1.8164335664335738</v>
      </c>
      <c r="S27">
        <f>INDEX(LINEST(Table2x4167[CU9],Table2x4167[RCR]^{1,2,3}),1,2)</f>
        <v>0.8834498834498864</v>
      </c>
      <c r="T27">
        <f>INDEX(LINEST(Table2x4167[CU10],Table2x4167[RCR]^{1,2,3}),1,2)</f>
        <v>1.1538461538461597</v>
      </c>
      <c r="U27">
        <f>INDEX(LINEST(Table2x4167[CU11],Table2x4167[RCR]^{1,2,3}),1,2)</f>
        <v>1.5303030303030354</v>
      </c>
      <c r="V27">
        <f>INDEX(LINEST(Table2x4167[CU12],Table2x4167[RCR]^{1,2,3}),1,2)</f>
        <v>0.81876456876456827</v>
      </c>
      <c r="W27">
        <f>INDEX(LINEST(Table2x4167[CU13],Table2x4167[RCR]^{1,2,3}),1,2)</f>
        <v>1.1223776223776252</v>
      </c>
      <c r="X27">
        <f>INDEX(LINEST(Table2x4167[CU14],Table2x4167[RCR]^{1,2,3}),1,2)</f>
        <v>1.3444055944055999</v>
      </c>
      <c r="Z27" t="s">
        <v>219</v>
      </c>
      <c r="AA27">
        <f>INDEX(LINEST(Table2x2174[CU],Table2x2174[RCR]^{1,2,3}),1,2)</f>
        <v>1.0955710955710949</v>
      </c>
      <c r="AB27">
        <f>INDEX(LINEST(Table2x2174[CU1],Table2x2174[RCR]^{1,2,3}),1,2)</f>
        <v>1.6620046620046678</v>
      </c>
      <c r="AC27">
        <f>INDEX(LINEST(Table2x2174[CU2],Table2x2174[RCR]^{1,2,3}),1,2)</f>
        <v>2.1608391608391657</v>
      </c>
      <c r="AD27">
        <f>INDEX(LINEST(Table2x2174[CU3],Table2x2174[RCR]^{1,2,3}),1,2)</f>
        <v>1.0256410256410327</v>
      </c>
      <c r="AE27">
        <f>INDEX(LINEST(Table2x2174[CU4],Table2x2174[RCR]^{1,2,3}),1,2)</f>
        <v>1.4970862470862516</v>
      </c>
      <c r="AF27">
        <f>INDEX(LINEST(Table2x2174[CU5],Table2x2174[RCR]^{1,2,3}),1,2)</f>
        <v>1.9324009324009419</v>
      </c>
      <c r="AG27">
        <f>INDEX(LINEST(Table2x2174[CU6],Table2x2174[RCR]^{1,2,3}),1,2)</f>
        <v>0.88869463869464171</v>
      </c>
      <c r="AH27">
        <f>INDEX(LINEST(Table2x2174[CU7],Table2x2174[RCR]^{1,2,3}),1,2)</f>
        <v>1.3024475524475578</v>
      </c>
      <c r="AI27">
        <f>INDEX(LINEST(Table2x2174[CU8],Table2x2174[RCR]^{1,2,3}),1,2)</f>
        <v>1.740675990675995</v>
      </c>
      <c r="AJ27">
        <f>INDEX(LINEST(Table2x2174[CU9],Table2x2174[RCR]^{1,2,3}),1,2)</f>
        <v>0.78904428904429413</v>
      </c>
      <c r="AK27">
        <f>INDEX(LINEST(Table2x2174[CU10],Table2x2174[RCR]^{1,2,3}),1,2)</f>
        <v>0.99766899766900241</v>
      </c>
      <c r="AL27">
        <f>INDEX(LINEST(Table2x2174[CU11],Table2x2174[RCR]^{1,2,3}),1,2)</f>
        <v>1.5588578088578131</v>
      </c>
      <c r="AM27">
        <f>INDEX(LINEST(Table2x2174[CU12],Table2x2174[RCR]^{1,2,3}),1,2)</f>
        <v>0.72435897435897556</v>
      </c>
      <c r="AN27">
        <f>INDEX(LINEST(Table2x2174[CU13],Table2x2174[RCR]^{1,2,3}),1,2)</f>
        <v>1.0827505827505861</v>
      </c>
      <c r="AO27">
        <f>INDEX(LINEST(Table2x2174[CU14],Table2x2174[RCR]^{1,2,3}),1,2)</f>
        <v>1.3047785547785606</v>
      </c>
      <c r="AQ27" t="s">
        <v>219</v>
      </c>
      <c r="AR27">
        <f>INDEX(LINEST(Table1x4176[CU],Table1x4176[RCR]^{1,2,3}),1,2)</f>
        <v>1.1247086247086286</v>
      </c>
      <c r="AS27">
        <f>INDEX(LINEST(Table1x4176[CU1],Table1x4176[RCR]^{1,2,3}),1,2)</f>
        <v>1.7680652680652769</v>
      </c>
      <c r="AT27">
        <f>INDEX(LINEST(Table1x4176[CU2],Table1x4176[RCR]^{1,2,3}),1,2)</f>
        <v>2.2657342657342712</v>
      </c>
      <c r="AU27">
        <f>INDEX(LINEST(Table1x4176[CU3],Table1x4176[RCR]^{1,2,3}),1,2)</f>
        <v>0.98076923076923817</v>
      </c>
      <c r="AV27">
        <f>INDEX(LINEST(Table1x4176[CU4],Table1x4176[RCR]^{1,2,3}),1,2)</f>
        <v>1.6719114219114259</v>
      </c>
      <c r="AW27">
        <f>INDEX(LINEST(Table1x4176[CU5],Table1x4176[RCR]^{1,2,3}),1,2)</f>
        <v>2.053613053613061</v>
      </c>
      <c r="AX27">
        <f>INDEX(LINEST(Table1x4176[CU6],Table1x4176[RCR]^{1,2,3}),1,2)</f>
        <v>0.91958041958042402</v>
      </c>
      <c r="AY27">
        <f>INDEX(LINEST(Table1x4176[CU7],Table1x4176[RCR]^{1,2,3}),1,2)</f>
        <v>1.4073426573426613</v>
      </c>
      <c r="AZ27">
        <f>INDEX(LINEST(Table1x4176[CU8],Table1x4176[RCR]^{1,2,3}),1,2)</f>
        <v>1.8164335664335738</v>
      </c>
      <c r="BA27">
        <f>INDEX(LINEST(Table1x4176[CU9],Table1x4176[RCR]^{1,2,3}),1,2)</f>
        <v>0.8834498834498864</v>
      </c>
      <c r="BB27">
        <f>INDEX(LINEST(Table1x4176[CU10],Table1x4176[RCR]^{1,2,3}),1,2)</f>
        <v>1.1538461538461597</v>
      </c>
      <c r="BC27">
        <f>INDEX(LINEST(Table1x4176[CU11],Table1x4176[RCR]^{1,2,3}),1,2)</f>
        <v>1.5303030303030354</v>
      </c>
      <c r="BD27">
        <f>INDEX(LINEST(Table1x4176[CU12],Table1x4176[RCR]^{1,2,3}),1,2)</f>
        <v>0.81876456876456827</v>
      </c>
      <c r="BE27">
        <f>INDEX(LINEST(Table1x4176[CU13],Table1x4176[RCR]^{1,2,3}),1,2)</f>
        <v>1.1223776223776252</v>
      </c>
      <c r="BF27">
        <f>INDEX(LINEST(Table1x4176[CU14],Table1x4176[RCR]^{1,2,3}),1,2)</f>
        <v>1.3444055944055999</v>
      </c>
    </row>
    <row r="28" spans="1:63" x14ac:dyDescent="0.25">
      <c r="C28" s="3"/>
      <c r="H28" s="5"/>
      <c r="I28" t="s">
        <v>220</v>
      </c>
      <c r="J28">
        <f t="array" ref="J28">INDEX(LINEST(Table2x4167[CU],Table2x4167[RCR]^{1,2,3}),1,3)</f>
        <v>-15.375679875679882</v>
      </c>
      <c r="K28">
        <f>INDEX(LINEST(Table2x4167[CU1],Table2x4167[RCR]^{1,2,3}),1,3)</f>
        <v>-19.605283605283635</v>
      </c>
      <c r="L28">
        <f>INDEX(LINEST(Table2x4167[CU2],Table2x4167[RCR]^{1,2,3}),1,3)</f>
        <v>-22.673659673659689</v>
      </c>
      <c r="M28">
        <f>INDEX(LINEST(Table2x4167[CU3],Table2x4167[RCR]^{1,2,3}),1,3)</f>
        <v>-14.42113442113445</v>
      </c>
      <c r="N28">
        <f>INDEX(LINEST(Table2x4167[CU4],Table2x4167[RCR]^{1,2,3}),1,3)</f>
        <v>-18.65112665112666</v>
      </c>
      <c r="O28">
        <f>INDEX(LINEST(Table2x4167[CU5],Table2x4167[RCR]^{1,2,3}),1,3)</f>
        <v>-21.353146853146878</v>
      </c>
      <c r="P28">
        <f>INDEX(LINEST(Table2x4167[CU6],Table2x4167[RCR]^{1,2,3}),1,3)</f>
        <v>-13.508158508158521</v>
      </c>
      <c r="Q28">
        <f>INDEX(LINEST(Table2x4167[CU7],Table2x4167[RCR]^{1,2,3}),1,3)</f>
        <v>-16.777000777000783</v>
      </c>
      <c r="R28">
        <f>INDEX(LINEST(Table2x4167[CU8],Table2x4167[RCR]^{1,2,3}),1,3)</f>
        <v>-19.510101010101032</v>
      </c>
      <c r="S28">
        <f>INDEX(LINEST(Table2x4167[CU9],Table2x4167[RCR]^{1,2,3}),1,3)</f>
        <v>-12.864413364413373</v>
      </c>
      <c r="T28">
        <f>INDEX(LINEST(Table2x4167[CU10],Table2x4167[RCR]^{1,2,3}),1,3)</f>
        <v>-15.167055167055189</v>
      </c>
      <c r="U28">
        <f>INDEX(LINEST(Table2x4167[CU11],Table2x4167[RCR]^{1,2,3}),1,3)</f>
        <v>-17.573815073815091</v>
      </c>
      <c r="V28">
        <f>INDEX(LINEST(Table2x4167[CU12],Table2x4167[RCR]^{1,2,3}),1,3)</f>
        <v>-12.151903651903643</v>
      </c>
      <c r="W28">
        <f>INDEX(LINEST(Table2x4167[CU13],Table2x4167[RCR]^{1,2,3}),1,3)</f>
        <v>-14.336052836052838</v>
      </c>
      <c r="X28">
        <f>INDEX(LINEST(Table2x4167[CU14],Table2x4167[RCR]^{1,2,3}),1,3)</f>
        <v>-16.144522144522163</v>
      </c>
      <c r="Z28" t="s">
        <v>220</v>
      </c>
      <c r="AA28">
        <f>INDEX(LINEST(Table2x2174[CU],Table2x2174[RCR]^{1,2,3}),1,3)</f>
        <v>-15.011266511266498</v>
      </c>
      <c r="AB28">
        <f>INDEX(LINEST(Table2x2174[CU1],Table2x2174[RCR]^{1,2,3}),1,3)</f>
        <v>-18.895493395493411</v>
      </c>
      <c r="AC28">
        <f>INDEX(LINEST(Table2x2174[CU2],Table2x2174[RCR]^{1,2,3}),1,3)</f>
        <v>-22.120046620046633</v>
      </c>
      <c r="AD28">
        <f>INDEX(LINEST(Table2x2174[CU3],Table2x2174[RCR]^{1,2,3}),1,3)</f>
        <v>-14.36402486402489</v>
      </c>
      <c r="AE28">
        <f>INDEX(LINEST(Table2x2174[CU4],Table2x2174[RCR]^{1,2,3}),1,3)</f>
        <v>-17.893550893550902</v>
      </c>
      <c r="AF28">
        <f>INDEX(LINEST(Table2x2174[CU5],Table2x2174[RCR]^{1,2,3}),1,3)</f>
        <v>-20.608780108780142</v>
      </c>
      <c r="AG28">
        <f>INDEX(LINEST(Table2x2174[CU6],Table2x2174[RCR]^{1,2,3}),1,3)</f>
        <v>-13.261849261849271</v>
      </c>
      <c r="AH28">
        <f>INDEX(LINEST(Table2x2174[CU7],Table2x2174[RCR]^{1,2,3}),1,3)</f>
        <v>-16.223387723387738</v>
      </c>
      <c r="AI28">
        <f>INDEX(LINEST(Table2x2174[CU8],Table2x2174[RCR]^{1,2,3}),1,3)</f>
        <v>-18.841880341880355</v>
      </c>
      <c r="AJ28">
        <f>INDEX(LINEST(Table2x2174[CU9],Table2x2174[RCR]^{1,2,3}),1,3)</f>
        <v>-12.271173271173291</v>
      </c>
      <c r="AK28">
        <f>INDEX(LINEST(Table2x2174[CU10],Table2x2174[RCR]^{1,2,3}),1,3)</f>
        <v>-14.362082362082379</v>
      </c>
      <c r="AL28">
        <f>INDEX(LINEST(Table2x2174[CU11],Table2x2174[RCR]^{1,2,3}),1,3)</f>
        <v>-17.353535353535364</v>
      </c>
      <c r="AM28">
        <f>INDEX(LINEST(Table2x2174[CU12],Table2x2174[RCR]^{1,2,3}),1,3)</f>
        <v>-11.558663558663556</v>
      </c>
      <c r="AN28">
        <f>INDEX(LINEST(Table2x2174[CU13],Table2x2174[RCR]^{1,2,3}),1,3)</f>
        <v>-14.011266511266518</v>
      </c>
      <c r="AO28">
        <f>INDEX(LINEST(Table2x2174[CU14],Table2x2174[RCR]^{1,2,3}),1,3)</f>
        <v>-15.819735819735842</v>
      </c>
      <c r="AQ28" t="s">
        <v>220</v>
      </c>
      <c r="AR28">
        <f>INDEX(LINEST(Table1x4176[CU],Table1x4176[RCR]^{1,2,3}),1,3)</f>
        <v>-15.375679875679882</v>
      </c>
      <c r="AS28">
        <f>INDEX(LINEST(Table1x4176[CU1],Table1x4176[RCR]^{1,2,3}),1,3)</f>
        <v>-19.605283605283635</v>
      </c>
      <c r="AT28">
        <f>INDEX(LINEST(Table1x4176[CU2],Table1x4176[RCR]^{1,2,3}),1,3)</f>
        <v>-22.673659673659689</v>
      </c>
      <c r="AU28">
        <f>INDEX(LINEST(Table1x4176[CU3],Table1x4176[RCR]^{1,2,3}),1,3)</f>
        <v>-14.42113442113445</v>
      </c>
      <c r="AV28">
        <f>INDEX(LINEST(Table1x4176[CU4],Table1x4176[RCR]^{1,2,3}),1,3)</f>
        <v>-18.65112665112666</v>
      </c>
      <c r="AW28">
        <f>INDEX(LINEST(Table1x4176[CU5],Table1x4176[RCR]^{1,2,3}),1,3)</f>
        <v>-21.353146853146878</v>
      </c>
      <c r="AX28">
        <f>INDEX(LINEST(Table1x4176[CU6],Table1x4176[RCR]^{1,2,3}),1,3)</f>
        <v>-13.508158508158521</v>
      </c>
      <c r="AY28">
        <f>INDEX(LINEST(Table1x4176[CU7],Table1x4176[RCR]^{1,2,3}),1,3)</f>
        <v>-16.777000777000783</v>
      </c>
      <c r="AZ28">
        <f>INDEX(LINEST(Table1x4176[CU8],Table1x4176[RCR]^{1,2,3}),1,3)</f>
        <v>-19.510101010101032</v>
      </c>
      <c r="BA28">
        <f>INDEX(LINEST(Table1x4176[CU9],Table1x4176[RCR]^{1,2,3}),1,3)</f>
        <v>-12.864413364413373</v>
      </c>
      <c r="BB28">
        <f>INDEX(LINEST(Table1x4176[CU10],Table1x4176[RCR]^{1,2,3}),1,3)</f>
        <v>-15.167055167055189</v>
      </c>
      <c r="BC28">
        <f>INDEX(LINEST(Table1x4176[CU11],Table1x4176[RCR]^{1,2,3}),1,3)</f>
        <v>-17.573815073815091</v>
      </c>
      <c r="BD28">
        <f>INDEX(LINEST(Table1x4176[CU12],Table1x4176[RCR]^{1,2,3}),1,3)</f>
        <v>-12.151903651903643</v>
      </c>
      <c r="BE28">
        <f>INDEX(LINEST(Table1x4176[CU13],Table1x4176[RCR]^{1,2,3}),1,3)</f>
        <v>-14.336052836052838</v>
      </c>
      <c r="BF28">
        <f>INDEX(LINEST(Table1x4176[CU14],Table1x4176[RCR]^{1,2,3}),1,3)</f>
        <v>-16.144522144522163</v>
      </c>
    </row>
    <row r="29" spans="1:63" x14ac:dyDescent="0.25">
      <c r="C29" s="3"/>
      <c r="H29" s="5"/>
      <c r="I29" t="s">
        <v>221</v>
      </c>
      <c r="J29">
        <f>INDEX(LINEST(Table2x4167[CU],Table2x4167[RCR]^{1,2,3}),1,4)</f>
        <v>119.16083916083915</v>
      </c>
      <c r="K29">
        <f>INDEX(LINEST(Table2x4167[CU1],Table2x4167[RCR]^{1,2,3}),1,4)</f>
        <v>118.89510489510488</v>
      </c>
      <c r="L29">
        <f>INDEX(LINEST(Table2x4167[CU2],Table2x4167[RCR]^{1,2,3}),1,4)</f>
        <v>118.33566433566432</v>
      </c>
      <c r="M29">
        <f>INDEX(LINEST(Table2x4167[CU3],Table2x4167[RCR]^{1,2,3}),1,4)</f>
        <v>116.1608391608392</v>
      </c>
      <c r="N29">
        <f>INDEX(LINEST(Table2x4167[CU4],Table2x4167[RCR]^{1,2,3}),1,4)</f>
        <v>115.99300699300699</v>
      </c>
      <c r="O29">
        <f>INDEX(LINEST(Table2x4167[CU5],Table2x4167[RCR]^{1,2,3}),1,4)</f>
        <v>115.63636363636363</v>
      </c>
      <c r="P29">
        <f>INDEX(LINEST(Table2x4167[CU6],Table2x4167[RCR]^{1,2,3}),1,4)</f>
        <v>110.81818181818183</v>
      </c>
      <c r="Q29">
        <f>INDEX(LINEST(Table2x4167[CU7],Table2x4167[RCR]^{1,2,3}),1,4)</f>
        <v>110.72027972027971</v>
      </c>
      <c r="R29">
        <f>INDEX(LINEST(Table2x4167[CU8],Table2x4167[RCR]^{1,2,3}),1,4)</f>
        <v>110.83216783216784</v>
      </c>
      <c r="S29">
        <f>INDEX(LINEST(Table2x4167[CU9],Table2x4167[RCR]^{1,2,3}),1,4)</f>
        <v>106.37762237762236</v>
      </c>
      <c r="T29">
        <f>INDEX(LINEST(Table2x4167[CU10],Table2x4167[RCR]^{1,2,3}),1,4)</f>
        <v>106.00699300699301</v>
      </c>
      <c r="U29">
        <f>INDEX(LINEST(Table2x4167[CU11],Table2x4167[RCR]^{1,2,3}),1,4)</f>
        <v>105.90209790209791</v>
      </c>
      <c r="V29">
        <f>INDEX(LINEST(Table2x4167[CU12],Table2x4167[RCR]^{1,2,3}),1,4)</f>
        <v>102.11188811188809</v>
      </c>
      <c r="W29">
        <f>INDEX(LINEST(Table2x4167[CU13],Table2x4167[RCR]^{1,2,3}),1,4)</f>
        <v>102.1398601398601</v>
      </c>
      <c r="X29">
        <f>INDEX(LINEST(Table2x4167[CU14],Table2x4167[RCR]^{1,2,3}),1,4)</f>
        <v>101.96503496503497</v>
      </c>
      <c r="Z29" t="s">
        <v>221</v>
      </c>
      <c r="AA29">
        <f>INDEX(LINEST(Table2x2174[CU],Table2x2174[RCR]^{1,2,3}),1,4)</f>
        <v>118.97902097902094</v>
      </c>
      <c r="AB29">
        <f>INDEX(LINEST(Table2x2174[CU1],Table2x2174[RCR]^{1,2,3}),1,4)</f>
        <v>118.68531468531469</v>
      </c>
      <c r="AC29">
        <f>INDEX(LINEST(Table2x2174[CU2],Table2x2174[RCR]^{1,2,3}),1,4)</f>
        <v>118.54545454545455</v>
      </c>
      <c r="AD29">
        <f>INDEX(LINEST(Table2x2174[CU3],Table2x2174[RCR]^{1,2,3}),1,4)</f>
        <v>116.06293706293708</v>
      </c>
      <c r="AE29">
        <f>INDEX(LINEST(Table2x2174[CU4],Table2x2174[RCR]^{1,2,3}),1,4)</f>
        <v>116.11888111888109</v>
      </c>
      <c r="AF29">
        <f>INDEX(LINEST(Table2x2174[CU5],Table2x2174[RCR]^{1,2,3}),1,4)</f>
        <v>115.44755244755245</v>
      </c>
      <c r="AG29">
        <f>INDEX(LINEST(Table2x2174[CU6],Table2x2174[RCR]^{1,2,3}),1,4)</f>
        <v>111.11188811188812</v>
      </c>
      <c r="AH29">
        <f>INDEX(LINEST(Table2x2174[CU7],Table2x2174[RCR]^{1,2,3}),1,4)</f>
        <v>110.93006993006993</v>
      </c>
      <c r="AI29">
        <f>INDEX(LINEST(Table2x2174[CU8],Table2x2174[RCR]^{1,2,3}),1,4)</f>
        <v>110.60839160839161</v>
      </c>
      <c r="AJ29">
        <f>INDEX(LINEST(Table2x2174[CU9],Table2x2174[RCR]^{1,2,3}),1,4)</f>
        <v>106.25174825174827</v>
      </c>
      <c r="AK29">
        <f>INDEX(LINEST(Table2x2174[CU10],Table2x2174[RCR]^{1,2,3}),1,4)</f>
        <v>106.09790209790209</v>
      </c>
      <c r="AL29">
        <f>INDEX(LINEST(Table2x2174[CU11],Table2x2174[RCR]^{1,2,3}),1,4)</f>
        <v>105.92307692307689</v>
      </c>
      <c r="AM29">
        <f>INDEX(LINEST(Table2x2174[CU12],Table2x2174[RCR]^{1,2,3}),1,4)</f>
        <v>101.98601398601394</v>
      </c>
      <c r="AN29">
        <f>INDEX(LINEST(Table2x2174[CU13],Table2x2174[RCR]^{1,2,3}),1,4)</f>
        <v>102.29370629370628</v>
      </c>
      <c r="AO29">
        <f>INDEX(LINEST(Table2x2174[CU14],Table2x2174[RCR]^{1,2,3}),1,4)</f>
        <v>102.11888111888112</v>
      </c>
      <c r="AQ29" t="s">
        <v>221</v>
      </c>
      <c r="AR29">
        <f>INDEX(LINEST(Table1x4176[CU],Table1x4176[RCR]^{1,2,3}),1,4)</f>
        <v>119.16083916083915</v>
      </c>
      <c r="AS29">
        <f>INDEX(LINEST(Table1x4176[CU1],Table1x4176[RCR]^{1,2,3}),1,4)</f>
        <v>118.89510489510488</v>
      </c>
      <c r="AT29">
        <f>INDEX(LINEST(Table1x4176[CU2],Table1x4176[RCR]^{1,2,3}),1,4)</f>
        <v>118.33566433566432</v>
      </c>
      <c r="AU29">
        <f>INDEX(LINEST(Table1x4176[CU3],Table1x4176[RCR]^{1,2,3}),1,4)</f>
        <v>116.1608391608392</v>
      </c>
      <c r="AV29">
        <f>INDEX(LINEST(Table1x4176[CU4],Table1x4176[RCR]^{1,2,3}),1,4)</f>
        <v>115.99300699300699</v>
      </c>
      <c r="AW29">
        <f>INDEX(LINEST(Table1x4176[CU5],Table1x4176[RCR]^{1,2,3}),1,4)</f>
        <v>115.63636363636363</v>
      </c>
      <c r="AX29">
        <f>INDEX(LINEST(Table1x4176[CU6],Table1x4176[RCR]^{1,2,3}),1,4)</f>
        <v>110.81818181818183</v>
      </c>
      <c r="AY29">
        <f>INDEX(LINEST(Table1x4176[CU7],Table1x4176[RCR]^{1,2,3}),1,4)</f>
        <v>110.72027972027971</v>
      </c>
      <c r="AZ29">
        <f>INDEX(LINEST(Table1x4176[CU8],Table1x4176[RCR]^{1,2,3}),1,4)</f>
        <v>110.83216783216784</v>
      </c>
      <c r="BA29">
        <f>INDEX(LINEST(Table1x4176[CU9],Table1x4176[RCR]^{1,2,3}),1,4)</f>
        <v>106.37762237762236</v>
      </c>
      <c r="BB29">
        <f>INDEX(LINEST(Table1x4176[CU10],Table1x4176[RCR]^{1,2,3}),1,4)</f>
        <v>106.00699300699301</v>
      </c>
      <c r="BC29">
        <f>INDEX(LINEST(Table1x4176[CU11],Table1x4176[RCR]^{1,2,3}),1,4)</f>
        <v>105.90209790209791</v>
      </c>
      <c r="BD29">
        <f>INDEX(LINEST(Table1x4176[CU12],Table1x4176[RCR]^{1,2,3}),1,4)</f>
        <v>102.11188811188809</v>
      </c>
      <c r="BE29">
        <f>INDEX(LINEST(Table1x4176[CU13],Table1x4176[RCR]^{1,2,3}),1,4)</f>
        <v>102.1398601398601</v>
      </c>
      <c r="BF29">
        <f>INDEX(LINEST(Table1x4176[CU14],Table1x4176[RCR]^{1,2,3}),1,4)</f>
        <v>101.96503496503497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1.24</v>
      </c>
      <c r="F44" s="12">
        <f>E44*(C14-C15)</f>
        <v>-3.1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1.26</v>
      </c>
      <c r="F45" s="12">
        <f>E45*(C14-C15)</f>
        <v>-3.15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#DIV/0!</v>
      </c>
    </row>
    <row r="65" spans="8:22" x14ac:dyDescent="0.25">
      <c r="H65" t="s">
        <v>17</v>
      </c>
      <c r="I65">
        <v>80</v>
      </c>
      <c r="J65">
        <v>10</v>
      </c>
      <c r="K65">
        <v>14</v>
      </c>
      <c r="L65" t="e">
        <f>AT25</f>
        <v>#DIV/0!</v>
      </c>
    </row>
    <row r="66" spans="8:22" x14ac:dyDescent="0.25">
      <c r="H66" t="s">
        <v>18</v>
      </c>
      <c r="I66">
        <v>70</v>
      </c>
      <c r="J66">
        <v>50</v>
      </c>
      <c r="K66">
        <v>14</v>
      </c>
      <c r="L66" t="e">
        <f>AU25</f>
        <v>#DIV/0!</v>
      </c>
    </row>
    <row r="67" spans="8:22" x14ac:dyDescent="0.25">
      <c r="H67" t="s">
        <v>19</v>
      </c>
      <c r="I67">
        <v>70</v>
      </c>
      <c r="J67">
        <v>30</v>
      </c>
      <c r="K67">
        <v>14</v>
      </c>
      <c r="L67" t="e">
        <f>AV25</f>
        <v>#DIV/0!</v>
      </c>
    </row>
    <row r="68" spans="8:22" x14ac:dyDescent="0.25">
      <c r="H68" t="s">
        <v>20</v>
      </c>
      <c r="I68">
        <v>70</v>
      </c>
      <c r="J68">
        <v>10</v>
      </c>
      <c r="K68">
        <v>14</v>
      </c>
      <c r="L68" t="e">
        <f>AW25</f>
        <v>#DIV/0!</v>
      </c>
    </row>
    <row r="69" spans="8:22" x14ac:dyDescent="0.25">
      <c r="H69" t="s">
        <v>21</v>
      </c>
      <c r="I69">
        <v>50</v>
      </c>
      <c r="J69">
        <v>50</v>
      </c>
      <c r="K69">
        <v>14</v>
      </c>
      <c r="L69" t="e">
        <f>AX25</f>
        <v>#DIV/0!</v>
      </c>
    </row>
    <row r="70" spans="8:22" x14ac:dyDescent="0.25">
      <c r="H70" t="s">
        <v>22</v>
      </c>
      <c r="I70">
        <v>50</v>
      </c>
      <c r="J70">
        <v>30</v>
      </c>
      <c r="K70">
        <v>14</v>
      </c>
      <c r="L70" t="e">
        <f>AY25</f>
        <v>#DIV/0!</v>
      </c>
    </row>
    <row r="71" spans="8:22" x14ac:dyDescent="0.25">
      <c r="H71" t="s">
        <v>23</v>
      </c>
      <c r="I71">
        <v>50</v>
      </c>
      <c r="J71">
        <v>10</v>
      </c>
      <c r="K71">
        <v>14</v>
      </c>
      <c r="L71" t="e">
        <f>AZ25</f>
        <v>#DIV/0!</v>
      </c>
    </row>
    <row r="72" spans="8:22" x14ac:dyDescent="0.25">
      <c r="H72" t="s">
        <v>24</v>
      </c>
      <c r="I72">
        <v>30</v>
      </c>
      <c r="J72">
        <v>50</v>
      </c>
      <c r="K72">
        <v>14</v>
      </c>
      <c r="L72" t="e">
        <f>BA25</f>
        <v>#DIV/0!</v>
      </c>
    </row>
    <row r="73" spans="8:22" x14ac:dyDescent="0.25">
      <c r="H73" t="s">
        <v>26</v>
      </c>
      <c r="I73">
        <v>30</v>
      </c>
      <c r="J73">
        <v>30</v>
      </c>
      <c r="K73">
        <v>14</v>
      </c>
      <c r="L73" t="e">
        <f>BB25</f>
        <v>#DIV/0!</v>
      </c>
    </row>
    <row r="74" spans="8:22" x14ac:dyDescent="0.25">
      <c r="H74" t="s">
        <v>25</v>
      </c>
      <c r="I74">
        <v>30</v>
      </c>
      <c r="J74">
        <v>10</v>
      </c>
      <c r="K74">
        <v>14</v>
      </c>
      <c r="L74" t="e">
        <f>BC25</f>
        <v>#DIV/0!</v>
      </c>
    </row>
    <row r="75" spans="8:22" x14ac:dyDescent="0.25">
      <c r="H75" t="s">
        <v>27</v>
      </c>
      <c r="I75">
        <v>10</v>
      </c>
      <c r="J75">
        <v>50</v>
      </c>
      <c r="K75">
        <v>14</v>
      </c>
      <c r="L75" t="e">
        <f>BD25</f>
        <v>#DIV/0!</v>
      </c>
    </row>
    <row r="76" spans="8:22" x14ac:dyDescent="0.25">
      <c r="H76" t="s">
        <v>28</v>
      </c>
      <c r="I76">
        <v>10</v>
      </c>
      <c r="J76">
        <v>30</v>
      </c>
      <c r="K76">
        <v>14</v>
      </c>
      <c r="L76" t="e">
        <f>BE25</f>
        <v>#DIV/0!</v>
      </c>
    </row>
    <row r="77" spans="8:22" x14ac:dyDescent="0.25">
      <c r="H77" t="s">
        <v>29</v>
      </c>
      <c r="I77">
        <v>10</v>
      </c>
      <c r="J77">
        <v>10</v>
      </c>
      <c r="K77">
        <v>14</v>
      </c>
      <c r="L77" t="e">
        <f>BF25</f>
        <v>#DIV/0!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143</v>
      </c>
      <c r="S80" t="s">
        <v>135</v>
      </c>
      <c r="T80" t="s">
        <v>136</v>
      </c>
      <c r="V80" t="s">
        <v>138</v>
      </c>
    </row>
    <row r="81" spans="9:22" x14ac:dyDescent="0.25">
      <c r="I81" s="16" t="s">
        <v>1172</v>
      </c>
      <c r="J81" s="17">
        <v>2211</v>
      </c>
      <c r="K81" s="17">
        <v>20</v>
      </c>
      <c r="N81">
        <v>80</v>
      </c>
      <c r="O81">
        <v>50</v>
      </c>
      <c r="P81">
        <v>20</v>
      </c>
      <c r="R81">
        <v>24</v>
      </c>
      <c r="S81">
        <v>1.26</v>
      </c>
      <c r="T81">
        <v>1.24</v>
      </c>
      <c r="V81">
        <v>0</v>
      </c>
    </row>
    <row r="82" spans="9:22" x14ac:dyDescent="0.25">
      <c r="I82" s="16" t="s">
        <v>1173</v>
      </c>
      <c r="J82" s="17">
        <v>3731</v>
      </c>
      <c r="K82" s="17">
        <v>30</v>
      </c>
      <c r="N82">
        <v>70</v>
      </c>
      <c r="O82">
        <v>30</v>
      </c>
      <c r="R82">
        <v>22</v>
      </c>
      <c r="S82" s="11">
        <v>1.22</v>
      </c>
      <c r="T82">
        <v>1.24</v>
      </c>
      <c r="V82">
        <v>90</v>
      </c>
    </row>
    <row r="83" spans="9:22" x14ac:dyDescent="0.25">
      <c r="I83" s="16" t="s">
        <v>1174</v>
      </c>
      <c r="J83" s="17">
        <v>4318</v>
      </c>
      <c r="K83" s="17">
        <v>36</v>
      </c>
      <c r="N83">
        <v>50</v>
      </c>
      <c r="O83">
        <v>10</v>
      </c>
      <c r="R83">
        <v>14</v>
      </c>
      <c r="S83">
        <v>1.26</v>
      </c>
      <c r="T83">
        <v>1.24</v>
      </c>
    </row>
    <row r="84" spans="9:22" x14ac:dyDescent="0.25">
      <c r="I84" s="16" t="s">
        <v>1175</v>
      </c>
      <c r="J84" s="17">
        <v>5178</v>
      </c>
      <c r="K84" s="17">
        <v>46</v>
      </c>
      <c r="N84">
        <v>30</v>
      </c>
    </row>
    <row r="85" spans="9:22" x14ac:dyDescent="0.25">
      <c r="I85" s="16" t="s">
        <v>1176</v>
      </c>
      <c r="J85" s="17">
        <v>3399</v>
      </c>
      <c r="K85" s="17">
        <v>26</v>
      </c>
      <c r="N85">
        <v>10</v>
      </c>
    </row>
    <row r="86" spans="9:22" x14ac:dyDescent="0.25">
      <c r="I86" s="16" t="s">
        <v>1177</v>
      </c>
      <c r="J86" s="17">
        <v>3819</v>
      </c>
      <c r="K86" s="17">
        <v>30</v>
      </c>
    </row>
    <row r="87" spans="9:22" x14ac:dyDescent="0.25">
      <c r="I87" s="16" t="s">
        <v>1178</v>
      </c>
      <c r="J87" s="17">
        <v>5241</v>
      </c>
      <c r="K87" s="17">
        <v>44</v>
      </c>
    </row>
    <row r="88" spans="9:22" x14ac:dyDescent="0.25">
      <c r="I88" s="16" t="s">
        <v>1179</v>
      </c>
      <c r="J88" s="17">
        <v>6197</v>
      </c>
      <c r="K88" s="17">
        <v>55</v>
      </c>
    </row>
    <row r="89" spans="9:22" x14ac:dyDescent="0.25">
      <c r="I89" s="16" t="s">
        <v>1180</v>
      </c>
      <c r="J89" s="17">
        <v>6873</v>
      </c>
      <c r="K89" s="17">
        <v>64</v>
      </c>
    </row>
    <row r="90" spans="9:22" x14ac:dyDescent="0.25">
      <c r="I90" s="16" t="s">
        <v>1181</v>
      </c>
      <c r="J90" s="17">
        <v>8859</v>
      </c>
      <c r="K90" s="17">
        <v>67</v>
      </c>
    </row>
    <row r="91" spans="9:22" x14ac:dyDescent="0.25">
      <c r="I91" s="16" t="s">
        <v>1182</v>
      </c>
      <c r="J91" s="17">
        <v>2211</v>
      </c>
      <c r="K91" s="17">
        <v>20</v>
      </c>
    </row>
    <row r="92" spans="9:22" x14ac:dyDescent="0.25">
      <c r="I92" s="16" t="s">
        <v>1183</v>
      </c>
      <c r="J92" s="17">
        <v>3731</v>
      </c>
      <c r="K92" s="17">
        <v>30</v>
      </c>
    </row>
    <row r="93" spans="9:22" x14ac:dyDescent="0.25">
      <c r="I93" s="16" t="s">
        <v>1184</v>
      </c>
      <c r="J93" s="17">
        <v>4318</v>
      </c>
      <c r="K93" s="17">
        <v>36</v>
      </c>
    </row>
    <row r="94" spans="9:22" x14ac:dyDescent="0.25">
      <c r="I94" s="16" t="s">
        <v>1185</v>
      </c>
      <c r="J94" s="17">
        <v>5178</v>
      </c>
      <c r="K94" s="17">
        <v>46</v>
      </c>
    </row>
    <row r="95" spans="9:22" x14ac:dyDescent="0.25">
      <c r="I95" s="16" t="s">
        <v>1186</v>
      </c>
      <c r="J95" s="17">
        <v>2280</v>
      </c>
      <c r="K95" s="17">
        <v>20</v>
      </c>
    </row>
    <row r="96" spans="9:22" x14ac:dyDescent="0.25">
      <c r="I96" s="16" t="s">
        <v>1187</v>
      </c>
      <c r="J96" s="17">
        <v>3847</v>
      </c>
      <c r="K96" s="17">
        <v>30</v>
      </c>
    </row>
    <row r="97" spans="9:11" x14ac:dyDescent="0.25">
      <c r="I97" s="16" t="s">
        <v>1188</v>
      </c>
      <c r="J97" s="17">
        <v>4452</v>
      </c>
      <c r="K97" s="17">
        <v>36</v>
      </c>
    </row>
    <row r="98" spans="9:11" x14ac:dyDescent="0.25">
      <c r="I98" s="16" t="s">
        <v>1189</v>
      </c>
      <c r="J98" s="17">
        <v>5338</v>
      </c>
      <c r="K98" s="17">
        <v>46</v>
      </c>
    </row>
    <row r="99" spans="9:11" x14ac:dyDescent="0.25">
      <c r="I99" s="16" t="s">
        <v>1190</v>
      </c>
      <c r="J99" s="17">
        <v>3504</v>
      </c>
      <c r="K99" s="17">
        <v>26</v>
      </c>
    </row>
    <row r="100" spans="9:11" x14ac:dyDescent="0.25">
      <c r="I100" s="16" t="s">
        <v>1191</v>
      </c>
      <c r="J100" s="17">
        <v>3937</v>
      </c>
      <c r="K100" s="17">
        <v>30</v>
      </c>
    </row>
    <row r="101" spans="9:11" x14ac:dyDescent="0.25">
      <c r="I101" s="16" t="s">
        <v>1192</v>
      </c>
      <c r="J101" s="17">
        <v>5403</v>
      </c>
      <c r="K101" s="17">
        <v>44</v>
      </c>
    </row>
    <row r="102" spans="9:11" x14ac:dyDescent="0.25">
      <c r="I102" s="16" t="s">
        <v>1193</v>
      </c>
      <c r="J102" s="17">
        <v>6388</v>
      </c>
      <c r="K102" s="17">
        <v>55</v>
      </c>
    </row>
    <row r="103" spans="9:11" x14ac:dyDescent="0.25">
      <c r="I103" s="16" t="s">
        <v>1194</v>
      </c>
      <c r="J103" s="17">
        <v>7086</v>
      </c>
      <c r="K103" s="17">
        <v>64</v>
      </c>
    </row>
    <row r="104" spans="9:11" x14ac:dyDescent="0.25">
      <c r="I104" s="16" t="s">
        <v>1195</v>
      </c>
      <c r="J104" s="17">
        <v>9133</v>
      </c>
      <c r="K104" s="17">
        <v>67</v>
      </c>
    </row>
    <row r="105" spans="9:11" x14ac:dyDescent="0.25">
      <c r="I105" s="16" t="s">
        <v>1196</v>
      </c>
      <c r="J105" s="17">
        <v>2280</v>
      </c>
      <c r="K105" s="17">
        <v>20</v>
      </c>
    </row>
    <row r="106" spans="9:11" x14ac:dyDescent="0.25">
      <c r="I106" s="16" t="s">
        <v>1197</v>
      </c>
      <c r="J106" s="17">
        <v>3847</v>
      </c>
      <c r="K106" s="17">
        <v>30</v>
      </c>
    </row>
    <row r="107" spans="9:11" x14ac:dyDescent="0.25">
      <c r="I107" s="16" t="s">
        <v>1198</v>
      </c>
      <c r="J107" s="17">
        <v>4452</v>
      </c>
      <c r="K107" s="17">
        <v>36</v>
      </c>
    </row>
    <row r="108" spans="9:11" x14ac:dyDescent="0.25">
      <c r="I108" s="16" t="s">
        <v>1199</v>
      </c>
      <c r="J108" s="17">
        <v>5338</v>
      </c>
      <c r="K108" s="17">
        <v>46</v>
      </c>
    </row>
    <row r="109" spans="9:11" x14ac:dyDescent="0.25">
      <c r="I109" s="16" t="s">
        <v>1200</v>
      </c>
      <c r="J109" s="17">
        <v>2348</v>
      </c>
      <c r="K109" s="17">
        <v>20</v>
      </c>
    </row>
    <row r="110" spans="9:11" x14ac:dyDescent="0.25">
      <c r="I110" s="16" t="s">
        <v>1201</v>
      </c>
      <c r="J110" s="17">
        <v>3962</v>
      </c>
      <c r="K110" s="17">
        <v>30</v>
      </c>
    </row>
    <row r="111" spans="9:11" x14ac:dyDescent="0.25">
      <c r="I111" s="16" t="s">
        <v>1202</v>
      </c>
      <c r="J111" s="17">
        <v>4585</v>
      </c>
      <c r="K111" s="17">
        <v>36</v>
      </c>
    </row>
    <row r="112" spans="9:11" x14ac:dyDescent="0.25">
      <c r="I112" s="16" t="s">
        <v>1203</v>
      </c>
      <c r="J112" s="17">
        <v>5499</v>
      </c>
      <c r="K112" s="17">
        <v>46</v>
      </c>
    </row>
    <row r="113" spans="9:11" x14ac:dyDescent="0.25">
      <c r="I113" s="16" t="s">
        <v>1204</v>
      </c>
      <c r="J113" s="17">
        <v>3609</v>
      </c>
      <c r="K113" s="17">
        <v>26</v>
      </c>
    </row>
    <row r="114" spans="9:11" x14ac:dyDescent="0.25">
      <c r="I114" s="16" t="s">
        <v>1205</v>
      </c>
      <c r="J114" s="17">
        <v>4056</v>
      </c>
      <c r="K114" s="17">
        <v>30</v>
      </c>
    </row>
    <row r="115" spans="9:11" x14ac:dyDescent="0.25">
      <c r="I115" s="16" t="s">
        <v>1206</v>
      </c>
      <c r="J115" s="17">
        <v>5565</v>
      </c>
      <c r="K115" s="17">
        <v>44</v>
      </c>
    </row>
    <row r="116" spans="9:11" x14ac:dyDescent="0.25">
      <c r="I116" s="16" t="s">
        <v>1207</v>
      </c>
      <c r="J116" s="17">
        <v>6580</v>
      </c>
      <c r="K116" s="17">
        <v>55</v>
      </c>
    </row>
    <row r="117" spans="9:11" x14ac:dyDescent="0.25">
      <c r="I117" s="16" t="s">
        <v>1208</v>
      </c>
      <c r="J117" s="17">
        <v>7299</v>
      </c>
      <c r="K117" s="17">
        <v>64</v>
      </c>
    </row>
    <row r="118" spans="9:11" x14ac:dyDescent="0.25">
      <c r="I118" s="16" t="s">
        <v>1209</v>
      </c>
      <c r="J118" s="17">
        <v>9407</v>
      </c>
      <c r="K118" s="17">
        <v>67</v>
      </c>
    </row>
    <row r="119" spans="9:11" x14ac:dyDescent="0.25">
      <c r="I119" s="16" t="s">
        <v>1210</v>
      </c>
      <c r="J119" s="17">
        <v>2348</v>
      </c>
      <c r="K119" s="17">
        <v>20</v>
      </c>
    </row>
    <row r="120" spans="9:11" x14ac:dyDescent="0.25">
      <c r="I120" s="16" t="s">
        <v>1211</v>
      </c>
      <c r="J120" s="17">
        <v>3962</v>
      </c>
      <c r="K120" s="17">
        <v>30</v>
      </c>
    </row>
    <row r="121" spans="9:11" x14ac:dyDescent="0.25">
      <c r="I121" s="16" t="s">
        <v>1212</v>
      </c>
      <c r="J121" s="17">
        <v>4585</v>
      </c>
      <c r="K121" s="17">
        <v>36</v>
      </c>
    </row>
    <row r="122" spans="9:11" x14ac:dyDescent="0.25">
      <c r="I122" s="16" t="s">
        <v>1213</v>
      </c>
      <c r="J122" s="17">
        <v>5499</v>
      </c>
      <c r="K122" s="17">
        <v>46</v>
      </c>
    </row>
  </sheetData>
  <sheetProtection algorithmName="SHA-512" hashValue="yJWl/sgr8onwj+J609JUAgGZggUxNcb8x0MOP7CwPD6h2+bAIfTb1XFQO+cChxGcCLPaKsYETQ7mZc6EWw07bg==" saltValue="pOUuIresGHYXoZvcf7q2vw==" spinCount="100000" sheet="1" objects="1" scenarios="1" selectLockedCells="1"/>
  <mergeCells count="4">
    <mergeCell ref="BI5:BK5"/>
    <mergeCell ref="BI6:BK6"/>
    <mergeCell ref="BI7:BK7"/>
    <mergeCell ref="A52:D55"/>
  </mergeCells>
  <conditionalFormatting sqref="C44">
    <cfRule type="cellIs" dxfId="69" priority="2" operator="greaterThan">
      <formula>$F$44</formula>
    </cfRule>
  </conditionalFormatting>
  <conditionalFormatting sqref="C45">
    <cfRule type="cellIs" dxfId="68" priority="1" operator="greaterThan">
      <formula>$F$45</formula>
    </cfRule>
  </conditionalFormatting>
  <dataValidations count="4">
    <dataValidation type="list" allowBlank="1" showInputMessage="1" showErrorMessage="1" sqref="C17" xr:uid="{01792FA1-E13A-4307-9034-BA828A86D68D}">
      <formula1>$N$81:$N$85</formula1>
    </dataValidation>
    <dataValidation type="list" allowBlank="1" showInputMessage="1" showErrorMessage="1" sqref="C18" xr:uid="{4ECDB57D-2A70-4B50-AC8E-7B7FCAA2F9DA}">
      <formula1>$O$81:$O$83</formula1>
    </dataValidation>
    <dataValidation type="list" allowBlank="1" showInputMessage="1" showErrorMessage="1" sqref="C43" xr:uid="{5A7A00D6-8CA0-4389-A216-5A25F56CF7CC}">
      <formula1>$V$81:$V$82</formula1>
    </dataValidation>
    <dataValidation type="list" allowBlank="1" showInputMessage="1" showErrorMessage="1" sqref="C21" xr:uid="{433B9500-F882-4F6A-833A-4DCE32E9DAAE}">
      <formula1>$I$81:$I$122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2AAD5-FFB1-4A66-B363-5D1DFEBDBD44}">
  <sheetPr>
    <pageSetUpPr fitToPage="1"/>
  </sheetPr>
  <dimension ref="A5:BK88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28515625" customWidth="1"/>
    <col min="3" max="3" width="25.285156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1215</v>
      </c>
      <c r="BH7" s="5" t="s">
        <v>1345</v>
      </c>
      <c r="BI7" s="37"/>
      <c r="BJ7" s="37"/>
      <c r="BK7" s="37"/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104</v>
      </c>
      <c r="K14">
        <v>100</v>
      </c>
      <c r="L14">
        <v>96</v>
      </c>
      <c r="M14">
        <v>102</v>
      </c>
      <c r="N14">
        <v>98</v>
      </c>
      <c r="O14">
        <v>94</v>
      </c>
      <c r="P14">
        <v>98</v>
      </c>
      <c r="Q14">
        <v>94</v>
      </c>
      <c r="R14">
        <v>91</v>
      </c>
      <c r="S14">
        <v>94</v>
      </c>
      <c r="T14">
        <v>91</v>
      </c>
      <c r="U14">
        <v>89</v>
      </c>
      <c r="V14">
        <v>90</v>
      </c>
      <c r="W14">
        <v>88</v>
      </c>
      <c r="X14">
        <v>86</v>
      </c>
      <c r="Z14">
        <v>1</v>
      </c>
      <c r="AA14">
        <v>105</v>
      </c>
      <c r="AB14">
        <v>101</v>
      </c>
      <c r="AC14">
        <v>97</v>
      </c>
      <c r="AD14">
        <v>102</v>
      </c>
      <c r="AE14">
        <v>99</v>
      </c>
      <c r="AF14">
        <v>95</v>
      </c>
      <c r="AG14">
        <v>98</v>
      </c>
      <c r="AH14">
        <v>95</v>
      </c>
      <c r="AI14">
        <v>92</v>
      </c>
      <c r="AJ14">
        <v>94</v>
      </c>
      <c r="AK14">
        <v>92</v>
      </c>
      <c r="AL14">
        <v>89</v>
      </c>
      <c r="AM14">
        <v>91</v>
      </c>
      <c r="AN14">
        <v>89</v>
      </c>
      <c r="AO14">
        <v>87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91</v>
      </c>
      <c r="K15">
        <v>84</v>
      </c>
      <c r="L15">
        <v>78</v>
      </c>
      <c r="M15">
        <v>89</v>
      </c>
      <c r="N15">
        <v>83</v>
      </c>
      <c r="O15">
        <v>77</v>
      </c>
      <c r="P15">
        <v>85</v>
      </c>
      <c r="Q15">
        <v>80</v>
      </c>
      <c r="R15">
        <v>75</v>
      </c>
      <c r="S15">
        <v>82</v>
      </c>
      <c r="T15">
        <v>78</v>
      </c>
      <c r="U15">
        <v>74</v>
      </c>
      <c r="V15">
        <v>79</v>
      </c>
      <c r="W15">
        <v>75</v>
      </c>
      <c r="X15">
        <v>72</v>
      </c>
      <c r="Z15">
        <v>2</v>
      </c>
      <c r="AA15">
        <v>92</v>
      </c>
      <c r="AB15">
        <v>85</v>
      </c>
      <c r="AC15">
        <v>80</v>
      </c>
      <c r="AD15">
        <v>90</v>
      </c>
      <c r="AE15">
        <v>84</v>
      </c>
      <c r="AF15">
        <v>79</v>
      </c>
      <c r="AG15">
        <v>86</v>
      </c>
      <c r="AH15">
        <v>81</v>
      </c>
      <c r="AI15">
        <v>77</v>
      </c>
      <c r="AJ15">
        <v>83</v>
      </c>
      <c r="AK15">
        <v>79</v>
      </c>
      <c r="AL15">
        <v>75</v>
      </c>
      <c r="AM15">
        <v>80</v>
      </c>
      <c r="AN15">
        <v>76</v>
      </c>
      <c r="AO15">
        <v>73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65</v>
      </c>
      <c r="M16">
        <v>78</v>
      </c>
      <c r="N16">
        <v>71</v>
      </c>
      <c r="O16">
        <v>64</v>
      </c>
      <c r="P16">
        <v>75</v>
      </c>
      <c r="Q16">
        <v>69</v>
      </c>
      <c r="R16">
        <v>63</v>
      </c>
      <c r="S16">
        <v>72</v>
      </c>
      <c r="T16">
        <v>67</v>
      </c>
      <c r="U16">
        <v>62</v>
      </c>
      <c r="V16">
        <v>70</v>
      </c>
      <c r="W16">
        <v>65</v>
      </c>
      <c r="X16">
        <v>61</v>
      </c>
      <c r="Z16">
        <v>3</v>
      </c>
      <c r="AA16">
        <v>81</v>
      </c>
      <c r="AB16">
        <v>73</v>
      </c>
      <c r="AC16">
        <v>67</v>
      </c>
      <c r="AD16">
        <v>79</v>
      </c>
      <c r="AE16">
        <v>72</v>
      </c>
      <c r="AF16">
        <v>66</v>
      </c>
      <c r="AG16">
        <v>76</v>
      </c>
      <c r="AH16">
        <v>70</v>
      </c>
      <c r="AI16">
        <v>65</v>
      </c>
      <c r="AJ16">
        <v>73</v>
      </c>
      <c r="AK16">
        <v>68</v>
      </c>
      <c r="AL16">
        <v>64</v>
      </c>
      <c r="AM16">
        <v>71</v>
      </c>
      <c r="AN16">
        <v>66</v>
      </c>
      <c r="AO16">
        <v>62</v>
      </c>
      <c r="AQ16">
        <v>3</v>
      </c>
    </row>
    <row r="17" spans="1:63" x14ac:dyDescent="0.25">
      <c r="B17" t="s">
        <v>5</v>
      </c>
      <c r="C17" s="22">
        <v>80</v>
      </c>
      <c r="I17">
        <v>4</v>
      </c>
      <c r="J17">
        <v>71</v>
      </c>
      <c r="K17">
        <v>62</v>
      </c>
      <c r="L17">
        <v>55</v>
      </c>
      <c r="M17">
        <v>69</v>
      </c>
      <c r="N17">
        <v>61</v>
      </c>
      <c r="O17">
        <v>55</v>
      </c>
      <c r="P17">
        <v>67</v>
      </c>
      <c r="Q17">
        <v>60</v>
      </c>
      <c r="R17">
        <v>54</v>
      </c>
      <c r="S17">
        <v>64</v>
      </c>
      <c r="T17">
        <v>58</v>
      </c>
      <c r="U17">
        <v>53</v>
      </c>
      <c r="V17">
        <v>62</v>
      </c>
      <c r="W17">
        <v>57</v>
      </c>
      <c r="X17">
        <v>52</v>
      </c>
      <c r="Z17">
        <v>4</v>
      </c>
      <c r="AA17">
        <v>72</v>
      </c>
      <c r="AB17">
        <v>63</v>
      </c>
      <c r="AC17">
        <v>57</v>
      </c>
      <c r="AD17">
        <v>70</v>
      </c>
      <c r="AE17">
        <v>62</v>
      </c>
      <c r="AF17">
        <v>56</v>
      </c>
      <c r="AG17">
        <v>68</v>
      </c>
      <c r="AH17">
        <v>61</v>
      </c>
      <c r="AI17">
        <v>55</v>
      </c>
      <c r="AJ17">
        <v>66</v>
      </c>
      <c r="AK17">
        <v>60</v>
      </c>
      <c r="AL17">
        <v>55</v>
      </c>
      <c r="AM17">
        <v>63</v>
      </c>
      <c r="AN17">
        <v>58</v>
      </c>
      <c r="AO17">
        <v>54</v>
      </c>
      <c r="AQ17">
        <v>4</v>
      </c>
    </row>
    <row r="18" spans="1:63" x14ac:dyDescent="0.25">
      <c r="B18" t="s">
        <v>6</v>
      </c>
      <c r="C18" s="22">
        <v>50</v>
      </c>
      <c r="I18">
        <v>5</v>
      </c>
      <c r="J18">
        <v>63</v>
      </c>
      <c r="K18">
        <v>54</v>
      </c>
      <c r="L18">
        <v>47</v>
      </c>
      <c r="M18">
        <v>62</v>
      </c>
      <c r="N18">
        <v>53</v>
      </c>
      <c r="O18">
        <v>47</v>
      </c>
      <c r="P18">
        <v>60</v>
      </c>
      <c r="Q18">
        <v>52</v>
      </c>
      <c r="R18">
        <v>47</v>
      </c>
      <c r="S18">
        <v>58</v>
      </c>
      <c r="T18">
        <v>51</v>
      </c>
      <c r="U18">
        <v>46</v>
      </c>
      <c r="V18">
        <v>56</v>
      </c>
      <c r="W18">
        <v>50</v>
      </c>
      <c r="X18">
        <v>46</v>
      </c>
      <c r="Z18">
        <v>5</v>
      </c>
      <c r="AA18">
        <v>64</v>
      </c>
      <c r="AB18">
        <v>55</v>
      </c>
      <c r="AC18">
        <v>49</v>
      </c>
      <c r="AD18">
        <v>63</v>
      </c>
      <c r="AE18">
        <v>55</v>
      </c>
      <c r="AF18">
        <v>49</v>
      </c>
      <c r="AG18">
        <v>61</v>
      </c>
      <c r="AH18">
        <v>54</v>
      </c>
      <c r="AI18">
        <v>48</v>
      </c>
      <c r="AJ18">
        <v>59</v>
      </c>
      <c r="AK18">
        <v>53</v>
      </c>
      <c r="AL18">
        <v>48</v>
      </c>
      <c r="AM18">
        <v>57</v>
      </c>
      <c r="AN18">
        <v>52</v>
      </c>
      <c r="AO18">
        <v>47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57</v>
      </c>
      <c r="K19">
        <v>48</v>
      </c>
      <c r="L19">
        <v>41</v>
      </c>
      <c r="M19">
        <v>56</v>
      </c>
      <c r="N19">
        <v>47</v>
      </c>
      <c r="O19">
        <v>41</v>
      </c>
      <c r="P19">
        <v>54</v>
      </c>
      <c r="Q19">
        <v>46</v>
      </c>
      <c r="R19">
        <v>41</v>
      </c>
      <c r="S19">
        <v>52</v>
      </c>
      <c r="T19">
        <v>46</v>
      </c>
      <c r="U19">
        <v>40</v>
      </c>
      <c r="V19">
        <v>51</v>
      </c>
      <c r="W19">
        <v>45</v>
      </c>
      <c r="X19">
        <v>40</v>
      </c>
      <c r="Z19">
        <v>6</v>
      </c>
      <c r="AA19">
        <v>58</v>
      </c>
      <c r="AB19">
        <v>49</v>
      </c>
      <c r="AC19">
        <v>43</v>
      </c>
      <c r="AD19">
        <v>57</v>
      </c>
      <c r="AE19">
        <v>49</v>
      </c>
      <c r="AF19">
        <v>43</v>
      </c>
      <c r="AG19">
        <v>55</v>
      </c>
      <c r="AH19">
        <v>48</v>
      </c>
      <c r="AI19">
        <v>42</v>
      </c>
      <c r="AJ19">
        <v>53</v>
      </c>
      <c r="AK19">
        <v>47</v>
      </c>
      <c r="AL19">
        <v>42</v>
      </c>
      <c r="AM19">
        <v>52</v>
      </c>
      <c r="AN19">
        <v>46</v>
      </c>
      <c r="AO19">
        <v>41</v>
      </c>
      <c r="AQ19">
        <v>6</v>
      </c>
    </row>
    <row r="20" spans="1:63" x14ac:dyDescent="0.25">
      <c r="I20">
        <v>7</v>
      </c>
      <c r="J20">
        <v>51</v>
      </c>
      <c r="K20">
        <v>43</v>
      </c>
      <c r="L20">
        <v>36</v>
      </c>
      <c r="M20">
        <v>51</v>
      </c>
      <c r="N20">
        <v>42</v>
      </c>
      <c r="O20">
        <v>36</v>
      </c>
      <c r="P20">
        <v>49</v>
      </c>
      <c r="Q20">
        <v>42</v>
      </c>
      <c r="R20">
        <v>36</v>
      </c>
      <c r="S20">
        <v>48</v>
      </c>
      <c r="T20">
        <v>41</v>
      </c>
      <c r="U20">
        <v>36</v>
      </c>
      <c r="V20">
        <v>46</v>
      </c>
      <c r="W20">
        <v>40</v>
      </c>
      <c r="X20">
        <v>35</v>
      </c>
      <c r="Z20">
        <v>7</v>
      </c>
      <c r="AA20">
        <v>53</v>
      </c>
      <c r="AB20">
        <v>44</v>
      </c>
      <c r="AC20">
        <v>38</v>
      </c>
      <c r="AD20">
        <v>52</v>
      </c>
      <c r="AE20">
        <v>44</v>
      </c>
      <c r="AF20">
        <v>38</v>
      </c>
      <c r="AG20">
        <v>50</v>
      </c>
      <c r="AH20">
        <v>43</v>
      </c>
      <c r="AI20">
        <v>37</v>
      </c>
      <c r="AJ20">
        <v>49</v>
      </c>
      <c r="AK20">
        <v>42</v>
      </c>
      <c r="AL20">
        <v>37</v>
      </c>
      <c r="AM20">
        <v>47</v>
      </c>
      <c r="AN20">
        <v>41</v>
      </c>
      <c r="AO20">
        <v>37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47</v>
      </c>
      <c r="K21">
        <v>38</v>
      </c>
      <c r="L21">
        <v>32</v>
      </c>
      <c r="M21">
        <v>46</v>
      </c>
      <c r="N21">
        <v>38</v>
      </c>
      <c r="O21">
        <v>32</v>
      </c>
      <c r="P21">
        <v>45</v>
      </c>
      <c r="Q21">
        <v>37</v>
      </c>
      <c r="R21">
        <v>32</v>
      </c>
      <c r="S21">
        <v>44</v>
      </c>
      <c r="T21">
        <v>37</v>
      </c>
      <c r="U21">
        <v>32</v>
      </c>
      <c r="V21">
        <v>42</v>
      </c>
      <c r="W21">
        <v>36</v>
      </c>
      <c r="X21">
        <v>32</v>
      </c>
      <c r="Z21">
        <v>8</v>
      </c>
      <c r="AA21">
        <v>48</v>
      </c>
      <c r="AB21">
        <v>40</v>
      </c>
      <c r="AC21">
        <v>34</v>
      </c>
      <c r="AD21">
        <v>47</v>
      </c>
      <c r="AE21">
        <v>39</v>
      </c>
      <c r="AF21">
        <v>34</v>
      </c>
      <c r="AG21">
        <v>46</v>
      </c>
      <c r="AH21">
        <v>39</v>
      </c>
      <c r="AI21">
        <v>34</v>
      </c>
      <c r="AJ21">
        <v>45</v>
      </c>
      <c r="AK21">
        <v>38</v>
      </c>
      <c r="AL21">
        <v>33</v>
      </c>
      <c r="AM21">
        <v>44</v>
      </c>
      <c r="AN21">
        <v>38</v>
      </c>
      <c r="AO21">
        <v>33</v>
      </c>
      <c r="AQ21">
        <v>8</v>
      </c>
    </row>
    <row r="22" spans="1:63" x14ac:dyDescent="0.25">
      <c r="B22" t="s">
        <v>30</v>
      </c>
      <c r="C22" s="4" t="e">
        <f>VLOOKUP(C21,Model5169179[],2,0)</f>
        <v>#N/A</v>
      </c>
      <c r="D22" t="s">
        <v>131</v>
      </c>
      <c r="I22">
        <v>9</v>
      </c>
      <c r="J22">
        <v>43</v>
      </c>
      <c r="K22">
        <v>35</v>
      </c>
      <c r="L22">
        <v>29</v>
      </c>
      <c r="M22">
        <v>42</v>
      </c>
      <c r="N22">
        <v>35</v>
      </c>
      <c r="O22">
        <v>29</v>
      </c>
      <c r="P22">
        <v>41</v>
      </c>
      <c r="Q22">
        <v>34</v>
      </c>
      <c r="R22">
        <v>29</v>
      </c>
      <c r="S22">
        <v>40</v>
      </c>
      <c r="T22">
        <v>34</v>
      </c>
      <c r="U22">
        <v>29</v>
      </c>
      <c r="V22">
        <v>39</v>
      </c>
      <c r="W22">
        <v>33</v>
      </c>
      <c r="X22">
        <v>29</v>
      </c>
      <c r="Z22">
        <v>9</v>
      </c>
      <c r="AA22">
        <v>44</v>
      </c>
      <c r="AB22">
        <v>36</v>
      </c>
      <c r="AC22">
        <v>31</v>
      </c>
      <c r="AD22">
        <v>44</v>
      </c>
      <c r="AE22">
        <v>36</v>
      </c>
      <c r="AF22">
        <v>30</v>
      </c>
      <c r="AG22">
        <v>42</v>
      </c>
      <c r="AH22">
        <v>35</v>
      </c>
      <c r="AI22">
        <v>30</v>
      </c>
      <c r="AJ22">
        <v>41</v>
      </c>
      <c r="AK22">
        <v>35</v>
      </c>
      <c r="AL22">
        <v>30</v>
      </c>
      <c r="AM22">
        <v>40</v>
      </c>
      <c r="AN22">
        <v>34</v>
      </c>
      <c r="AO22">
        <v>30</v>
      </c>
      <c r="AQ22">
        <v>9</v>
      </c>
    </row>
    <row r="23" spans="1:63" x14ac:dyDescent="0.25">
      <c r="B23" t="s">
        <v>31</v>
      </c>
      <c r="C23" t="e">
        <f>VLOOKUP(C21,Model5169179[],3,FALSE)</f>
        <v>#N/A</v>
      </c>
      <c r="D23" t="s">
        <v>132</v>
      </c>
      <c r="I23">
        <v>10</v>
      </c>
      <c r="J23">
        <v>40</v>
      </c>
      <c r="K23">
        <v>32</v>
      </c>
      <c r="L23">
        <v>26</v>
      </c>
      <c r="M23">
        <v>39</v>
      </c>
      <c r="N23">
        <v>32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31</v>
      </c>
      <c r="U23">
        <v>26</v>
      </c>
      <c r="V23">
        <v>36</v>
      </c>
      <c r="W23">
        <v>30</v>
      </c>
      <c r="X23">
        <v>26</v>
      </c>
      <c r="Z23">
        <v>10</v>
      </c>
      <c r="AA23">
        <v>41</v>
      </c>
      <c r="AB23">
        <v>33</v>
      </c>
      <c r="AC23">
        <v>28</v>
      </c>
      <c r="AD23">
        <v>40</v>
      </c>
      <c r="AE23">
        <v>33</v>
      </c>
      <c r="AF23">
        <v>28</v>
      </c>
      <c r="AG23">
        <v>39</v>
      </c>
      <c r="AH23">
        <v>32</v>
      </c>
      <c r="AI23">
        <v>28</v>
      </c>
      <c r="AJ23">
        <v>38</v>
      </c>
      <c r="AK23">
        <v>32</v>
      </c>
      <c r="AL23">
        <v>27</v>
      </c>
      <c r="AM23">
        <v>37</v>
      </c>
      <c r="AN23">
        <v>31</v>
      </c>
      <c r="AO23">
        <v>27</v>
      </c>
      <c r="AQ23">
        <v>10</v>
      </c>
    </row>
    <row r="24" spans="1:63" x14ac:dyDescent="0.25">
      <c r="B24" t="s">
        <v>3</v>
      </c>
      <c r="C24" s="11" t="e">
        <f t="array" ref="C24">INDEX(CUtable4168178[],MATCH(1,(CUtable4168178[RC]=C17)*(CUtable4168178[RW]=C18)*(CUtable4168178[Size]=E21),0),4)</f>
        <v>#VALUE!</v>
      </c>
      <c r="H24" s="5"/>
    </row>
    <row r="25" spans="1:63" x14ac:dyDescent="0.25">
      <c r="B25" t="s">
        <v>133</v>
      </c>
      <c r="C25" s="11">
        <f>VLOOKUP(E21,Table81217173183[],2,FALSE)</f>
        <v>0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VLOOKUP(E21,Table81217173183[],3,FALSE)</f>
        <v>0</v>
      </c>
      <c r="H26" s="5"/>
      <c r="I26" t="s">
        <v>218</v>
      </c>
      <c r="J26">
        <f>INDEX(LINEST(Table2x4167177[CU],Table2x4167177[RCR]^{1,2,3}),1)</f>
        <v>-3.3605283605284079E-2</v>
      </c>
      <c r="K26">
        <f>INDEX(LINEST(Table2x4167177[CU1],Table2x4167177[RCR]^{1,2,3}),1)</f>
        <v>-6.701631701631755E-2</v>
      </c>
      <c r="L26">
        <f>INDEX(LINEST(Table2x4167177[CU2],Table2x4167177[RCR]^{1,2,3}),1)</f>
        <v>-9.9650349650349981E-2</v>
      </c>
      <c r="M26">
        <f>INDEX(LINEST(Table2x4167177[CU3],Table2x4167177[RCR]^{1,2,3}),1)</f>
        <v>-3.9044289044289311E-2</v>
      </c>
      <c r="N26">
        <f>INDEX(LINEST(Table2x4167177[CU4],Table2x4167177[RCR]^{1,2,3}),1)</f>
        <v>-5.6138306138306532E-2</v>
      </c>
      <c r="O26">
        <f>INDEX(LINEST(Table2x4167177[CU5],Table2x4167177[RCR]^{1,2,3}),1)</f>
        <v>-9.3240093240093552E-2</v>
      </c>
      <c r="P26">
        <f>INDEX(LINEST(Table2x4167177[CU6],Table2x4167177[RCR]^{1,2,3}),1)</f>
        <v>-3.6519036519036645E-2</v>
      </c>
      <c r="Q26">
        <f>INDEX(LINEST(Table2x4167177[CU7],Table2x4167177[RCR]^{1,2,3}),1)</f>
        <v>-5.3807303807304356E-2</v>
      </c>
      <c r="R26">
        <f>INDEX(LINEST(Table2x4167177[CU8],Table2x4167177[RCR]^{1,2,3}),1)</f>
        <v>-8.3333333333333662E-2</v>
      </c>
      <c r="S26">
        <f>INDEX(LINEST(Table2x4167177[CU9],Table2x4167177[RCR]^{1,2,3}),1)</f>
        <v>-3.6907536907537092E-2</v>
      </c>
      <c r="T26">
        <f>INDEX(LINEST(Table2x4167177[CU10],Table2x4167177[RCR]^{1,2,3}),1)</f>
        <v>-4.6620046620046859E-2</v>
      </c>
      <c r="U26">
        <f>INDEX(LINEST(Table2x4167177[CU11],Table2x4167177[RCR]^{1,2,3}),1)</f>
        <v>-6.526806526806582E-2</v>
      </c>
      <c r="V26">
        <f>INDEX(LINEST(Table2x4167177[CU12],Table2x4167177[RCR]^{1,2,3}),1)</f>
        <v>-2.9914529914530006E-2</v>
      </c>
      <c r="W26">
        <f>INDEX(LINEST(Table2x4167177[CU13],Table2x4167177[RCR]^{1,2,3}),1)</f>
        <v>-4.4483294483294876E-2</v>
      </c>
      <c r="X26">
        <f>INDEX(LINEST(Table2x4167177[CU14],Table2x4167177[RCR]^{1,2,3}),1)</f>
        <v>-5.6721056721057067E-2</v>
      </c>
      <c r="Z26" t="s">
        <v>218</v>
      </c>
      <c r="AA26">
        <f>INDEX(LINEST(Table2x2174184[CU],Table2x2174184[RCR]^{1,2,3}),1)</f>
        <v>-3.2245532245532754E-2</v>
      </c>
      <c r="AB26">
        <f>INDEX(LINEST(Table2x2174184[CU1],Table2x2174184[RCR]^{1,2,3}),1)</f>
        <v>-6.546231546231604E-2</v>
      </c>
      <c r="AC26">
        <f>INDEX(LINEST(Table2x2174184[CU2],Table2x2174184[RCR]^{1,2,3}),1)</f>
        <v>-8.9160839160839611E-2</v>
      </c>
      <c r="AD26">
        <f>INDEX(LINEST(Table2x2174184[CU3],Table2x2174184[RCR]^{1,2,3}),1)</f>
        <v>-3.5547785547785607E-2</v>
      </c>
      <c r="AE26">
        <f>INDEX(LINEST(Table2x2174184[CU4],Table2x2174184[RCR]^{1,2,3}),1)</f>
        <v>-5.7498057498057843E-2</v>
      </c>
      <c r="AF26">
        <f>INDEX(LINEST(Table2x2174184[CU5],Table2x2174184[RCR]^{1,2,3}),1)</f>
        <v>-8.4304584304584887E-2</v>
      </c>
      <c r="AG26">
        <f>INDEX(LINEST(Table2x2174184[CU6],Table2x2174184[RCR]^{1,2,3}),1)</f>
        <v>-3.1857031857031849E-2</v>
      </c>
      <c r="AH26">
        <f>INDEX(LINEST(Table2x2174184[CU7],Table2x2174184[RCR]^{1,2,3}),1)</f>
        <v>-5.4972804972805461E-2</v>
      </c>
      <c r="AI26">
        <f>INDEX(LINEST(Table2x2174184[CU8],Table2x2174184[RCR]^{1,2,3}),1)</f>
        <v>-6.7210567210567784E-2</v>
      </c>
      <c r="AJ26">
        <f>INDEX(LINEST(Table2x2174184[CU9],Table2x2174184[RCR]^{1,2,3}),1)</f>
        <v>-2.9526029526029892E-2</v>
      </c>
      <c r="AK26">
        <f>INDEX(LINEST(Table2x2174184[CU10],Table2x2174184[RCR]^{1,2,3}),1)</f>
        <v>-3.8073038073038259E-2</v>
      </c>
      <c r="AL26">
        <f>INDEX(LINEST(Table2x2174184[CU11],Table2x2174184[RCR]^{1,2,3}),1)</f>
        <v>-5.6138306138306317E-2</v>
      </c>
      <c r="AM26">
        <f>INDEX(LINEST(Table2x2174184[CU12],Table2x2174184[RCR]^{1,2,3}),1)</f>
        <v>-2.8360528360528516E-2</v>
      </c>
      <c r="AN26">
        <f>INDEX(LINEST(Table2x2174184[CU13],Table2x2174184[RCR]^{1,2,3}),1)</f>
        <v>-4.2929292929292893E-2</v>
      </c>
      <c r="AO26">
        <f>INDEX(LINEST(Table2x2174184[CU14],Table2x2174184[RCR]^{1,2,3}),1)</f>
        <v>-5.2641802641802952E-2</v>
      </c>
      <c r="AQ26" t="s">
        <v>218</v>
      </c>
      <c r="AR26" t="e">
        <f>INDEX(LINEST(Table1x4176186[CU],Table1x4176186[RCR]^{1,2,3}),1)</f>
        <v>#VALUE!</v>
      </c>
      <c r="AS26" t="e">
        <f>INDEX(LINEST(Table1x4176186[CU1],Table1x4176186[RCR]^{1,2,3}),1)</f>
        <v>#VALUE!</v>
      </c>
      <c r="AT26" t="e">
        <f>INDEX(LINEST(Table1x4176186[CU2],Table1x4176186[RCR]^{1,2,3}),1)</f>
        <v>#VALUE!</v>
      </c>
      <c r="AU26" t="e">
        <f>INDEX(LINEST(Table1x4176186[CU3],Table1x4176186[RCR]^{1,2,3}),1)</f>
        <v>#VALUE!</v>
      </c>
      <c r="AV26" t="e">
        <f>INDEX(LINEST(Table1x4176186[CU4],Table1x4176186[RCR]^{1,2,3}),1)</f>
        <v>#VALUE!</v>
      </c>
      <c r="AW26" t="e">
        <f>INDEX(LINEST(Table1x4176186[CU5],Table1x4176186[RCR]^{1,2,3}),1)</f>
        <v>#VALUE!</v>
      </c>
      <c r="AX26" t="e">
        <f>INDEX(LINEST(Table1x4176186[CU6],Table1x4176186[RCR]^{1,2,3}),1)</f>
        <v>#VALUE!</v>
      </c>
      <c r="AY26" t="e">
        <f>INDEX(LINEST(Table1x4176186[CU7],Table1x4176186[RCR]^{1,2,3}),1)</f>
        <v>#VALUE!</v>
      </c>
      <c r="AZ26" t="e">
        <f>INDEX(LINEST(Table1x4176186[CU8],Table1x4176186[RCR]^{1,2,3}),1)</f>
        <v>#VALUE!</v>
      </c>
      <c r="BA26" t="e">
        <f>INDEX(LINEST(Table1x4176186[CU9],Table1x4176186[RCR]^{1,2,3}),1)</f>
        <v>#VALUE!</v>
      </c>
      <c r="BB26" t="e">
        <f>INDEX(LINEST(Table1x4176186[CU10],Table1x4176186[RCR]^{1,2,3}),1)</f>
        <v>#VALUE!</v>
      </c>
      <c r="BC26" t="e">
        <f>INDEX(LINEST(Table1x4176186[CU11],Table1x4176186[RCR]^{1,2,3}),1)</f>
        <v>#VALUE!</v>
      </c>
      <c r="BD26" t="e">
        <f>INDEX(LINEST(Table1x4176186[CU12],Table1x4176186[RCR]^{1,2,3}),1)</f>
        <v>#VALUE!</v>
      </c>
      <c r="BE26" t="e">
        <f>INDEX(LINEST(Table1x4176186[CU13],Table1x4176186[RCR]^{1,2,3}),1)</f>
        <v>#VALUE!</v>
      </c>
      <c r="BF26" t="e">
        <f>INDEX(LINEST(Table1x4176186[CU14],Table1x4176186[RCR]^{1,2,3}),1)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INDEX(LINEST(Table2x4167177[CU],Table2x4167177[RCR]^{1,2,3}),1,2)</f>
        <v>1.1579254079254149</v>
      </c>
      <c r="K27">
        <f>INDEX(LINEST(Table2x4167177[CU1],Table2x4167177[RCR]^{1,2,3}),1,2)</f>
        <v>1.8595571095571177</v>
      </c>
      <c r="L27">
        <f>INDEX(LINEST(Table2x4167177[CU2],Table2x4167177[RCR]^{1,2,3}),1,2)</f>
        <v>2.514568764568768</v>
      </c>
      <c r="M27">
        <f>INDEX(LINEST(Table2x4167177[CU3],Table2x4167177[RCR]^{1,2,3}),1,2)</f>
        <v>1.2092074592074629</v>
      </c>
      <c r="N27">
        <f>INDEX(LINEST(Table2x4167177[CU4],Table2x4167177[RCR]^{1,2,3}),1,2)</f>
        <v>1.6777389277389332</v>
      </c>
      <c r="O27">
        <f>INDEX(LINEST(Table2x4167177[CU5],Table2x4167177[RCR]^{1,2,3}),1,2)</f>
        <v>2.3601398601398635</v>
      </c>
      <c r="P27">
        <f>INDEX(LINEST(Table2x4167177[CU6],Table2x4167177[RCR]^{1,2,3}),1,2)</f>
        <v>1.1375291375291385</v>
      </c>
      <c r="Q27">
        <f>INDEX(LINEST(Table2x4167177[CU7],Table2x4167177[RCR]^{1,2,3}),1,2)</f>
        <v>1.5541958041958124</v>
      </c>
      <c r="R27">
        <f>INDEX(LINEST(Table2x4167177[CU8],Table2x4167177[RCR]^{1,2,3}),1,2)</f>
        <v>2.1229603729603772</v>
      </c>
      <c r="S27">
        <f>INDEX(LINEST(Table2x4167177[CU9],Table2x4167177[RCR]^{1,2,3}),1,2)</f>
        <v>1.1118881118881139</v>
      </c>
      <c r="T27">
        <f>INDEX(LINEST(Table2x4167177[CU10],Table2x4167177[RCR]^{1,2,3}),1,2)</f>
        <v>1.3939393939393969</v>
      </c>
      <c r="U27">
        <f>INDEX(LINEST(Table2x4167177[CU11],Table2x4167177[RCR]^{1,2,3}),1,2)</f>
        <v>1.7913752913752994</v>
      </c>
      <c r="V27">
        <f>INDEX(LINEST(Table2x4167177[CU12],Table2x4167177[RCR]^{1,2,3}),1,2)</f>
        <v>0.97319347319347393</v>
      </c>
      <c r="W27">
        <f>INDEX(LINEST(Table2x4167177[CU13],Table2x4167177[RCR]^{1,2,3}),1,2)</f>
        <v>1.3047785547785606</v>
      </c>
      <c r="X27">
        <f>INDEX(LINEST(Table2x4167177[CU14],Table2x4167177[RCR]^{1,2,3}),1,2)</f>
        <v>1.5990675990676038</v>
      </c>
      <c r="Z27" t="s">
        <v>219</v>
      </c>
      <c r="AA27">
        <f>INDEX(LINEST(Table2x2174184[CU],Table2x2174184[RCR]^{1,2,3}),1,2)</f>
        <v>1.1130536130536204</v>
      </c>
      <c r="AB27">
        <f>INDEX(LINEST(Table2x2174184[CU1],Table2x2174184[RCR]^{1,2,3}),1,2)</f>
        <v>1.8175990675990761</v>
      </c>
      <c r="AC27">
        <f>INDEX(LINEST(Table2x2174184[CU2],Table2x2174184[RCR]^{1,2,3}),1,2)</f>
        <v>2.3152680652680719</v>
      </c>
      <c r="AD27">
        <f>INDEX(LINEST(Table2x2174184[CU3],Table2x2174184[RCR]^{1,2,3}),1,2)</f>
        <v>1.1392773892773893</v>
      </c>
      <c r="AE27">
        <f>INDEX(LINEST(Table2x2174184[CU4],Table2x2174184[RCR]^{1,2,3}),1,2)</f>
        <v>1.651515151515156</v>
      </c>
      <c r="AF27">
        <f>INDEX(LINEST(Table2x2174184[CU5],Table2x2174184[RCR]^{1,2,3}),1,2)</f>
        <v>2.1876456876456962</v>
      </c>
      <c r="AG27">
        <f>INDEX(LINEST(Table2x2174184[CU6],Table2x2174184[RCR]^{1,2,3}),1,2)</f>
        <v>1.0431235431235419</v>
      </c>
      <c r="AH27">
        <f>INDEX(LINEST(Table2x2174184[CU7],Table2x2174184[RCR]^{1,2,3}),1,2)</f>
        <v>1.5308857808857883</v>
      </c>
      <c r="AI27">
        <f>INDEX(LINEST(Table2x2174184[CU8],Table2x2174184[RCR]^{1,2,3}),1,2)</f>
        <v>1.8717948717948802</v>
      </c>
      <c r="AJ27">
        <f>INDEX(LINEST(Table2x2174184[CU9],Table2x2174184[RCR]^{1,2,3}),1,2)</f>
        <v>0.96620046620047173</v>
      </c>
      <c r="AK27">
        <f>INDEX(LINEST(Table2x2174184[CU10],Table2x2174184[RCR]^{1,2,3}),1,2)</f>
        <v>1.2261072261072286</v>
      </c>
      <c r="AL27">
        <f>INDEX(LINEST(Table2x2174184[CU11],Table2x2174184[RCR]^{1,2,3}),1,2)</f>
        <v>1.5903263403263415</v>
      </c>
      <c r="AM27">
        <f>INDEX(LINEST(Table2x2174184[CU12],Table2x2174184[RCR]^{1,2,3}),1,2)</f>
        <v>0.93123543123543262</v>
      </c>
      <c r="AN27">
        <f>INDEX(LINEST(Table2x2174184[CU13],Table2x2174184[RCR]^{1,2,3}),1,2)</f>
        <v>1.2511655011654998</v>
      </c>
      <c r="AO27">
        <f>INDEX(LINEST(Table2x2174184[CU14],Table2x2174184[RCR]^{1,2,3}),1,2)</f>
        <v>1.5029137529137575</v>
      </c>
      <c r="AQ27" t="s">
        <v>219</v>
      </c>
      <c r="AR27" t="e">
        <f>INDEX(LINEST(Table1x4176186[CU],Table1x4176186[RCR]^{1,2,3}),1,2)</f>
        <v>#VALUE!</v>
      </c>
      <c r="AS27" t="e">
        <f>INDEX(LINEST(Table1x4176186[CU1],Table1x4176186[RCR]^{1,2,3}),1,2)</f>
        <v>#VALUE!</v>
      </c>
      <c r="AT27" t="e">
        <f>INDEX(LINEST(Table1x4176186[CU2],Table1x4176186[RCR]^{1,2,3}),1,2)</f>
        <v>#VALUE!</v>
      </c>
      <c r="AU27" t="e">
        <f>INDEX(LINEST(Table1x4176186[CU3],Table1x4176186[RCR]^{1,2,3}),1,2)</f>
        <v>#VALUE!</v>
      </c>
      <c r="AV27" t="e">
        <f>INDEX(LINEST(Table1x4176186[CU4],Table1x4176186[RCR]^{1,2,3}),1,2)</f>
        <v>#VALUE!</v>
      </c>
      <c r="AW27" t="e">
        <f>INDEX(LINEST(Table1x4176186[CU5],Table1x4176186[RCR]^{1,2,3}),1,2)</f>
        <v>#VALUE!</v>
      </c>
      <c r="AX27" t="e">
        <f>INDEX(LINEST(Table1x4176186[CU6],Table1x4176186[RCR]^{1,2,3}),1,2)</f>
        <v>#VALUE!</v>
      </c>
      <c r="AY27" t="e">
        <f>INDEX(LINEST(Table1x4176186[CU7],Table1x4176186[RCR]^{1,2,3}),1,2)</f>
        <v>#VALUE!</v>
      </c>
      <c r="AZ27" t="e">
        <f>INDEX(LINEST(Table1x4176186[CU8],Table1x4176186[RCR]^{1,2,3}),1,2)</f>
        <v>#VALUE!</v>
      </c>
      <c r="BA27" t="e">
        <f>INDEX(LINEST(Table1x4176186[CU9],Table1x4176186[RCR]^{1,2,3}),1,2)</f>
        <v>#VALUE!</v>
      </c>
      <c r="BB27" t="e">
        <f>INDEX(LINEST(Table1x4176186[CU10],Table1x4176186[RCR]^{1,2,3}),1,2)</f>
        <v>#VALUE!</v>
      </c>
      <c r="BC27" t="e">
        <f>INDEX(LINEST(Table1x4176186[CU11],Table1x4176186[RCR]^{1,2,3}),1,2)</f>
        <v>#VALUE!</v>
      </c>
      <c r="BD27" t="e">
        <f>INDEX(LINEST(Table1x4176186[CU12],Table1x4176186[RCR]^{1,2,3}),1,2)</f>
        <v>#VALUE!</v>
      </c>
      <c r="BE27" t="e">
        <f>INDEX(LINEST(Table1x4176186[CU13],Table1x4176186[RCR]^{1,2,3}),1,2)</f>
        <v>#VALUE!</v>
      </c>
      <c r="BF27" t="e">
        <f>INDEX(LINEST(Table1x4176186[CU14],Table1x4176186[RCR]^{1,2,3}),1,2)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INDEX(LINEST(Table2x4167177[CU],Table2x4167177[RCR]^{1,2,3}),1,3)</f>
        <v>-16.12432012432015</v>
      </c>
      <c r="K28">
        <f>INDEX(LINEST(Table2x4167177[CU1],Table2x4167177[RCR]^{1,2,3}),1,3)</f>
        <v>-20.603729603729636</v>
      </c>
      <c r="L28">
        <f>INDEX(LINEST(Table2x4167177[CU2],Table2x4167177[RCR]^{1,2,3}),1,3)</f>
        <v>-24.470862470862471</v>
      </c>
      <c r="M28">
        <f>INDEX(LINEST(Table2x4167177[CU3],Table2x4167177[RCR]^{1,2,3}),1,3)</f>
        <v>-15.93240093240094</v>
      </c>
      <c r="N28">
        <f>INDEX(LINEST(Table2x4167177[CU4],Table2x4167177[RCR]^{1,2,3}),1,3)</f>
        <v>-19.558663558663579</v>
      </c>
      <c r="O28">
        <f>INDEX(LINEST(Table2x4167177[CU5],Table2x4167177[RCR]^{1,2,3}),1,3)</f>
        <v>-23.266899766899765</v>
      </c>
      <c r="P28">
        <f>INDEX(LINEST(Table2x4167177[CU6],Table2x4167177[RCR]^{1,2,3}),1,3)</f>
        <v>-15.059052059052055</v>
      </c>
      <c r="Q28">
        <f>INDEX(LINEST(Table2x4167177[CU7],Table2x4167177[RCR]^{1,2,3}),1,3)</f>
        <v>-18.157731157731188</v>
      </c>
      <c r="R28">
        <f>INDEX(LINEST(Table2x4167177[CU8],Table2x4167177[RCR]^{1,2,3}),1,3)</f>
        <v>-21.396270396270406</v>
      </c>
      <c r="S28">
        <f>INDEX(LINEST(Table2x4167177[CU9],Table2x4167177[RCR]^{1,2,3}),1,3)</f>
        <v>-14.375679875679875</v>
      </c>
      <c r="T28">
        <f>INDEX(LINEST(Table2x4167177[CU10],Table2x4167177[RCR]^{1,2,3}),1,3)</f>
        <v>-16.794871794871799</v>
      </c>
      <c r="U28">
        <f>INDEX(LINEST(Table2x4167177[CU11],Table2x4167177[RCR]^{1,2,3}),1,3)</f>
        <v>-19.411421911421936</v>
      </c>
      <c r="V28">
        <f>INDEX(LINEST(Table2x4167177[CU12],Table2x4167177[RCR]^{1,2,3}),1,3)</f>
        <v>-13.355866355866352</v>
      </c>
      <c r="W28">
        <f>INDEX(LINEST(Table2x4167177[CU13],Table2x4167177[RCR]^{1,2,3}),1,3)</f>
        <v>-15.819735819735842</v>
      </c>
      <c r="X28">
        <f>INDEX(LINEST(Table2x4167177[CU14],Table2x4167177[RCR]^{1,2,3}),1,3)</f>
        <v>-17.92696192696194</v>
      </c>
      <c r="Z28" t="s">
        <v>220</v>
      </c>
      <c r="AA28">
        <f>INDEX(LINEST(Table2x2174184[CU],Table2x2174184[RCR]^{1,2,3}),1,3)</f>
        <v>-15.738150738150766</v>
      </c>
      <c r="AB28">
        <f>INDEX(LINEST(Table2x2174184[CU1],Table2x2174184[RCR]^{1,2,3}),1,3)</f>
        <v>-20.255633255633285</v>
      </c>
      <c r="AC28">
        <f>INDEX(LINEST(Table2x2174184[CU2],Table2x2174184[RCR]^{1,2,3}),1,3)</f>
        <v>-23.324009324009346</v>
      </c>
      <c r="AD28">
        <f>INDEX(LINEST(Table2x2174184[CU3],Table2x2174184[RCR]^{1,2,3}),1,3)</f>
        <v>-15.439393939393931</v>
      </c>
      <c r="AE28">
        <f>INDEX(LINEST(Table2x2174184[CU4],Table2x2174184[RCR]^{1,2,3}),1,3)</f>
        <v>-19.097513597513608</v>
      </c>
      <c r="AF28">
        <f>INDEX(LINEST(Table2x2174184[CU5],Table2x2174184[RCR]^{1,2,3}),1,3)</f>
        <v>-22.2711732711733</v>
      </c>
      <c r="AG28">
        <f>INDEX(LINEST(Table2x2174184[CU6],Table2x2174184[RCR]^{1,2,3}),1,3)</f>
        <v>-14.46581196581195</v>
      </c>
      <c r="AH28">
        <f>INDEX(LINEST(Table2x2174184[CU7],Table2x2174184[RCR]^{1,2,3}),1,3)</f>
        <v>-17.734654234654261</v>
      </c>
      <c r="AI28">
        <f>INDEX(LINEST(Table2x2174184[CU8],Table2x2174184[RCR]^{1,2,3}),1,3)</f>
        <v>-20.308080808080838</v>
      </c>
      <c r="AJ28">
        <f>INDEX(LINEST(Table2x2174184[CU9],Table2x2174184[RCR]^{1,2,3}),1,3)</f>
        <v>-13.531080031080052</v>
      </c>
      <c r="AK28">
        <f>INDEX(LINEST(Table2x2174184[CU10],Table2x2174184[RCR]^{1,2,3}),1,3)</f>
        <v>-15.873348873348878</v>
      </c>
      <c r="AL28">
        <f>INDEX(LINEST(Table2x2174184[CU11],Table2x2174184[RCR]^{1,2,3}),1,3)</f>
        <v>-18.184537684537677</v>
      </c>
      <c r="AM28">
        <f>INDEX(LINEST(Table2x2174184[CU12],Table2x2174184[RCR]^{1,2,3}),1,3)</f>
        <v>-13.007770007770006</v>
      </c>
      <c r="AN28">
        <f>INDEX(LINEST(Table2x2174184[CU13],Table2x2174184[RCR]^{1,2,3}),1,3)</f>
        <v>-15.355089355089341</v>
      </c>
      <c r="AO28">
        <f>INDEX(LINEST(Table2x2174184[CU14],Table2x2174184[RCR]^{1,2,3}),1,3)</f>
        <v>-17.289432789432805</v>
      </c>
      <c r="AQ28" t="s">
        <v>220</v>
      </c>
      <c r="AR28" t="e">
        <f>INDEX(LINEST(Table1x4176186[CU],Table1x4176186[RCR]^{1,2,3}),1,3)</f>
        <v>#VALUE!</v>
      </c>
      <c r="AS28" t="e">
        <f>INDEX(LINEST(Table1x4176186[CU1],Table1x4176186[RCR]^{1,2,3}),1,3)</f>
        <v>#VALUE!</v>
      </c>
      <c r="AT28" t="e">
        <f>INDEX(LINEST(Table1x4176186[CU2],Table1x4176186[RCR]^{1,2,3}),1,3)</f>
        <v>#VALUE!</v>
      </c>
      <c r="AU28" t="e">
        <f>INDEX(LINEST(Table1x4176186[CU3],Table1x4176186[RCR]^{1,2,3}),1,3)</f>
        <v>#VALUE!</v>
      </c>
      <c r="AV28" t="e">
        <f>INDEX(LINEST(Table1x4176186[CU4],Table1x4176186[RCR]^{1,2,3}),1,3)</f>
        <v>#VALUE!</v>
      </c>
      <c r="AW28" t="e">
        <f>INDEX(LINEST(Table1x4176186[CU5],Table1x4176186[RCR]^{1,2,3}),1,3)</f>
        <v>#VALUE!</v>
      </c>
      <c r="AX28" t="e">
        <f>INDEX(LINEST(Table1x4176186[CU6],Table1x4176186[RCR]^{1,2,3}),1,3)</f>
        <v>#VALUE!</v>
      </c>
      <c r="AY28" t="e">
        <f>INDEX(LINEST(Table1x4176186[CU7],Table1x4176186[RCR]^{1,2,3}),1,3)</f>
        <v>#VALUE!</v>
      </c>
      <c r="AZ28" t="e">
        <f>INDEX(LINEST(Table1x4176186[CU8],Table1x4176186[RCR]^{1,2,3}),1,3)</f>
        <v>#VALUE!</v>
      </c>
      <c r="BA28" t="e">
        <f>INDEX(LINEST(Table1x4176186[CU9],Table1x4176186[RCR]^{1,2,3}),1,3)</f>
        <v>#VALUE!</v>
      </c>
      <c r="BB28" t="e">
        <f>INDEX(LINEST(Table1x4176186[CU10],Table1x4176186[RCR]^{1,2,3}),1,3)</f>
        <v>#VALUE!</v>
      </c>
      <c r="BC28" t="e">
        <f>INDEX(LINEST(Table1x4176186[CU11],Table1x4176186[RCR]^{1,2,3}),1,3)</f>
        <v>#VALUE!</v>
      </c>
      <c r="BD28" t="e">
        <f>INDEX(LINEST(Table1x4176186[CU12],Table1x4176186[RCR]^{1,2,3}),1,3)</f>
        <v>#VALUE!</v>
      </c>
      <c r="BE28" t="e">
        <f>INDEX(LINEST(Table1x4176186[CU13],Table1x4176186[RCR]^{1,2,3}),1,3)</f>
        <v>#VALUE!</v>
      </c>
      <c r="BF28" t="e">
        <f>INDEX(LINEST(Table1x4176186[CU14],Table1x4176186[RCR]^{1,2,3}),1,3)</f>
        <v>#VALUE!</v>
      </c>
    </row>
    <row r="29" spans="1:63" x14ac:dyDescent="0.25">
      <c r="C29" s="3"/>
      <c r="H29" s="5"/>
      <c r="I29" t="s">
        <v>221</v>
      </c>
      <c r="J29">
        <f>INDEX(LINEST(Table2x4167177[CU],Table2x4167177[RCR]^{1,2,3}),1,4)</f>
        <v>118.97202797202797</v>
      </c>
      <c r="K29">
        <f>INDEX(LINEST(Table2x4167177[CU1],Table2x4167177[RCR]^{1,2,3}),1,4)</f>
        <v>118.81818181818186</v>
      </c>
      <c r="L29">
        <f>INDEX(LINEST(Table2x4167177[CU2],Table2x4167177[RCR]^{1,2,3}),1,4)</f>
        <v>118.47552447552444</v>
      </c>
      <c r="M29">
        <f>INDEX(LINEST(Table2x4167177[CU3],Table2x4167177[RCR]^{1,2,3}),1,4)</f>
        <v>116.25874125874125</v>
      </c>
      <c r="N29">
        <f>INDEX(LINEST(Table2x4167177[CU4],Table2x4167177[RCR]^{1,2,3}),1,4)</f>
        <v>115.96503496503496</v>
      </c>
      <c r="O29">
        <f>INDEX(LINEST(Table2x4167177[CU5],Table2x4167177[RCR]^{1,2,3}),1,4)</f>
        <v>115.46153846153842</v>
      </c>
      <c r="P29">
        <f>INDEX(LINEST(Table2x4167177[CU6],Table2x4167177[RCR]^{1,2,3}),1,4)</f>
        <v>111.25174825174825</v>
      </c>
      <c r="Q29">
        <f>INDEX(LINEST(Table2x4167177[CU7],Table2x4167177[RCR]^{1,2,3}),1,4)</f>
        <v>110.82517482517484</v>
      </c>
      <c r="R29">
        <f>INDEX(LINEST(Table2x4167177[CU8],Table2x4167177[RCR]^{1,2,3}),1,4)</f>
        <v>110.59440559440557</v>
      </c>
      <c r="S29">
        <f>INDEX(LINEST(Table2x4167177[CU9],Table2x4167177[RCR]^{1,2,3}),1,4)</f>
        <v>106.47552447552447</v>
      </c>
      <c r="T29">
        <f>INDEX(LINEST(Table2x4167177[CU10],Table2x4167177[RCR]^{1,2,3}),1,4)</f>
        <v>106.18881118881116</v>
      </c>
      <c r="U29">
        <f>INDEX(LINEST(Table2x4167177[CU11],Table2x4167177[RCR]^{1,2,3}),1,4)</f>
        <v>106.2167832167832</v>
      </c>
      <c r="V29">
        <f>INDEX(LINEST(Table2x4167177[CU12],Table2x4167177[RCR]^{1,2,3}),1,4)</f>
        <v>102.12587412587411</v>
      </c>
      <c r="W29">
        <f>INDEX(LINEST(Table2x4167177[CU13],Table2x4167177[RCR]^{1,2,3}),1,4)</f>
        <v>102.11888111888112</v>
      </c>
      <c r="X29">
        <f>INDEX(LINEST(Table2x4167177[CU14],Table2x4167177[RCR]^{1,2,3}),1,4)</f>
        <v>102.08391608391607</v>
      </c>
      <c r="Z29" t="s">
        <v>221</v>
      </c>
      <c r="AA29">
        <f>INDEX(LINEST(Table2x2174184[CU],Table2x2174184[RCR]^{1,2,3}),1,4)</f>
        <v>119.23776223776228</v>
      </c>
      <c r="AB29">
        <f>INDEX(LINEST(Table2x2174184[CU1],Table2x2174184[RCR]^{1,2,3}),1,4)</f>
        <v>119.11888111888113</v>
      </c>
      <c r="AC29">
        <f>INDEX(LINEST(Table2x2174184[CU2],Table2x2174184[RCR]^{1,2,3}),1,4)</f>
        <v>118.55944055944059</v>
      </c>
      <c r="AD29">
        <f>INDEX(LINEST(Table2x2174184[CU3],Table2x2174184[RCR]^{1,2,3}),1,4)</f>
        <v>116.18881118881116</v>
      </c>
      <c r="AE29">
        <f>INDEX(LINEST(Table2x2174184[CU4],Table2x2174184[RCR]^{1,2,3}),1,4)</f>
        <v>116.13286713286712</v>
      </c>
      <c r="AF29">
        <f>INDEX(LINEST(Table2x2174184[CU5],Table2x2174184[RCR]^{1,2,3}),1,4)</f>
        <v>115.6083916083916</v>
      </c>
      <c r="AG29">
        <f>INDEX(LINEST(Table2x2174184[CU6],Table2x2174184[RCR]^{1,2,3}),1,4)</f>
        <v>111.12587412587409</v>
      </c>
      <c r="AH29">
        <f>INDEX(LINEST(Table2x2174184[CU7],Table2x2174184[RCR]^{1,2,3}),1,4)</f>
        <v>111.02797202797203</v>
      </c>
      <c r="AI29">
        <f>INDEX(LINEST(Table2x2174184[CU8],Table2x2174184[RCR]^{1,2,3}),1,4)</f>
        <v>110.7832167832168</v>
      </c>
      <c r="AJ29">
        <f>INDEX(LINEST(Table2x2174184[CU9],Table2x2174184[RCR]^{1,2,3}),1,4)</f>
        <v>106.23076923076925</v>
      </c>
      <c r="AK29">
        <f>INDEX(LINEST(Table2x2174184[CU10],Table2x2174184[RCR]^{1,2,3}),1,4)</f>
        <v>106.19580419580417</v>
      </c>
      <c r="AL29">
        <f>INDEX(LINEST(Table2x2174184[CU11],Table2x2174184[RCR]^{1,2,3}),1,4)</f>
        <v>105.79020979020974</v>
      </c>
      <c r="AM29">
        <f>INDEX(LINEST(Table2x2174184[CU12],Table2x2174184[RCR]^{1,2,3}),1,4)</f>
        <v>102.42657342657341</v>
      </c>
      <c r="AN29">
        <f>INDEX(LINEST(Table2x2174184[CU13],Table2x2174184[RCR]^{1,2,3}),1,4)</f>
        <v>102.33566433566432</v>
      </c>
      <c r="AO29">
        <f>INDEX(LINEST(Table2x2174184[CU14],Table2x2174184[RCR]^{1,2,3}),1,4)</f>
        <v>102.23076923076923</v>
      </c>
      <c r="AQ29" t="s">
        <v>221</v>
      </c>
      <c r="AR29" t="e">
        <f>INDEX(LINEST(Table1x4176186[CU],Table1x4176186[RCR]^{1,2,3}),1,4)</f>
        <v>#VALUE!</v>
      </c>
      <c r="AS29" t="e">
        <f>INDEX(LINEST(Table1x4176186[CU1],Table1x4176186[RCR]^{1,2,3}),1,4)</f>
        <v>#VALUE!</v>
      </c>
      <c r="AT29" t="e">
        <f>INDEX(LINEST(Table1x4176186[CU2],Table1x4176186[RCR]^{1,2,3}),1,4)</f>
        <v>#VALUE!</v>
      </c>
      <c r="AU29" t="e">
        <f>INDEX(LINEST(Table1x4176186[CU3],Table1x4176186[RCR]^{1,2,3}),1,4)</f>
        <v>#VALUE!</v>
      </c>
      <c r="AV29" t="e">
        <f>INDEX(LINEST(Table1x4176186[CU4],Table1x4176186[RCR]^{1,2,3}),1,4)</f>
        <v>#VALUE!</v>
      </c>
      <c r="AW29" t="e">
        <f>INDEX(LINEST(Table1x4176186[CU5],Table1x4176186[RCR]^{1,2,3}),1,4)</f>
        <v>#VALUE!</v>
      </c>
      <c r="AX29" t="e">
        <f>INDEX(LINEST(Table1x4176186[CU6],Table1x4176186[RCR]^{1,2,3}),1,4)</f>
        <v>#VALUE!</v>
      </c>
      <c r="AY29" t="e">
        <f>INDEX(LINEST(Table1x4176186[CU7],Table1x4176186[RCR]^{1,2,3}),1,4)</f>
        <v>#VALUE!</v>
      </c>
      <c r="AZ29" t="e">
        <f>INDEX(LINEST(Table1x4176186[CU8],Table1x4176186[RCR]^{1,2,3}),1,4)</f>
        <v>#VALUE!</v>
      </c>
      <c r="BA29" t="e">
        <f>INDEX(LINEST(Table1x4176186[CU9],Table1x4176186[RCR]^{1,2,3}),1,4)</f>
        <v>#VALUE!</v>
      </c>
      <c r="BB29" t="e">
        <f>INDEX(LINEST(Table1x4176186[CU10],Table1x4176186[RCR]^{1,2,3}),1,4)</f>
        <v>#VALUE!</v>
      </c>
      <c r="BC29" t="e">
        <f>INDEX(LINEST(Table1x4176186[CU11],Table1x4176186[RCR]^{1,2,3}),1,4)</f>
        <v>#VALUE!</v>
      </c>
      <c r="BD29" t="e">
        <f>INDEX(LINEST(Table1x4176186[CU12],Table1x4176186[RCR]^{1,2,3}),1,4)</f>
        <v>#VALUE!</v>
      </c>
      <c r="BE29" t="e">
        <f>INDEX(LINEST(Table1x4176186[CU13],Table1x4176186[RCR]^{1,2,3}),1,4)</f>
        <v>#VALUE!</v>
      </c>
      <c r="BF29" t="e">
        <f>INDEX(LINEST(Table1x4176186[CU14],Table1x4176186[RCR]^{1,2,3}),1,4)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0</v>
      </c>
      <c r="F44" s="12">
        <f>E44*(C14-C15)</f>
        <v>0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0</v>
      </c>
      <c r="F45" s="12">
        <f>E45*(C14-C15)</f>
        <v>0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#VALUE!</v>
      </c>
    </row>
    <row r="65" spans="8:22" x14ac:dyDescent="0.25">
      <c r="H65" t="s">
        <v>17</v>
      </c>
      <c r="I65">
        <v>80</v>
      </c>
      <c r="J65">
        <v>10</v>
      </c>
      <c r="K65">
        <v>14</v>
      </c>
      <c r="L65" t="e">
        <f>AT25</f>
        <v>#VALUE!</v>
      </c>
    </row>
    <row r="66" spans="8:22" x14ac:dyDescent="0.25">
      <c r="H66" t="s">
        <v>18</v>
      </c>
      <c r="I66">
        <v>70</v>
      </c>
      <c r="J66">
        <v>50</v>
      </c>
      <c r="K66">
        <v>14</v>
      </c>
      <c r="L66" t="e">
        <f>AU25</f>
        <v>#VALUE!</v>
      </c>
    </row>
    <row r="67" spans="8:22" x14ac:dyDescent="0.25">
      <c r="H67" t="s">
        <v>19</v>
      </c>
      <c r="I67">
        <v>70</v>
      </c>
      <c r="J67">
        <v>30</v>
      </c>
      <c r="K67">
        <v>14</v>
      </c>
      <c r="L67" t="e">
        <f>AV25</f>
        <v>#VALUE!</v>
      </c>
    </row>
    <row r="68" spans="8:22" x14ac:dyDescent="0.25">
      <c r="H68" t="s">
        <v>20</v>
      </c>
      <c r="I68">
        <v>70</v>
      </c>
      <c r="J68">
        <v>10</v>
      </c>
      <c r="K68">
        <v>14</v>
      </c>
      <c r="L68" t="e">
        <f>AW25</f>
        <v>#VALUE!</v>
      </c>
    </row>
    <row r="69" spans="8:22" x14ac:dyDescent="0.25">
      <c r="H69" t="s">
        <v>21</v>
      </c>
      <c r="I69">
        <v>50</v>
      </c>
      <c r="J69">
        <v>50</v>
      </c>
      <c r="K69">
        <v>14</v>
      </c>
      <c r="L69" t="e">
        <f>AX25</f>
        <v>#VALUE!</v>
      </c>
    </row>
    <row r="70" spans="8:22" x14ac:dyDescent="0.25">
      <c r="H70" t="s">
        <v>22</v>
      </c>
      <c r="I70">
        <v>50</v>
      </c>
      <c r="J70">
        <v>30</v>
      </c>
      <c r="K70">
        <v>14</v>
      </c>
      <c r="L70" t="e">
        <f>AY25</f>
        <v>#VALUE!</v>
      </c>
    </row>
    <row r="71" spans="8:22" x14ac:dyDescent="0.25">
      <c r="H71" t="s">
        <v>23</v>
      </c>
      <c r="I71">
        <v>50</v>
      </c>
      <c r="J71">
        <v>10</v>
      </c>
      <c r="K71">
        <v>14</v>
      </c>
      <c r="L71" t="e">
        <f>AZ25</f>
        <v>#VALUE!</v>
      </c>
    </row>
    <row r="72" spans="8:22" x14ac:dyDescent="0.25">
      <c r="H72" t="s">
        <v>24</v>
      </c>
      <c r="I72">
        <v>30</v>
      </c>
      <c r="J72">
        <v>50</v>
      </c>
      <c r="K72">
        <v>14</v>
      </c>
      <c r="L72" t="e">
        <f>BA25</f>
        <v>#VALUE!</v>
      </c>
    </row>
    <row r="73" spans="8:22" x14ac:dyDescent="0.25">
      <c r="H73" t="s">
        <v>26</v>
      </c>
      <c r="I73">
        <v>30</v>
      </c>
      <c r="J73">
        <v>30</v>
      </c>
      <c r="K73">
        <v>14</v>
      </c>
      <c r="L73" t="e">
        <f>BB25</f>
        <v>#VALUE!</v>
      </c>
    </row>
    <row r="74" spans="8:22" x14ac:dyDescent="0.25">
      <c r="H74" t="s">
        <v>25</v>
      </c>
      <c r="I74">
        <v>30</v>
      </c>
      <c r="J74">
        <v>10</v>
      </c>
      <c r="K74">
        <v>14</v>
      </c>
      <c r="L74" t="e">
        <f>BC25</f>
        <v>#VALUE!</v>
      </c>
    </row>
    <row r="75" spans="8:22" x14ac:dyDescent="0.25">
      <c r="H75" t="s">
        <v>27</v>
      </c>
      <c r="I75">
        <v>10</v>
      </c>
      <c r="J75">
        <v>50</v>
      </c>
      <c r="K75">
        <v>14</v>
      </c>
      <c r="L75" t="e">
        <f>BD25</f>
        <v>#VALUE!</v>
      </c>
    </row>
    <row r="76" spans="8:22" x14ac:dyDescent="0.25">
      <c r="H76" t="s">
        <v>28</v>
      </c>
      <c r="I76">
        <v>10</v>
      </c>
      <c r="J76">
        <v>30</v>
      </c>
      <c r="K76">
        <v>14</v>
      </c>
      <c r="L76" t="e">
        <f>BE25</f>
        <v>#VALUE!</v>
      </c>
    </row>
    <row r="77" spans="8:22" x14ac:dyDescent="0.25">
      <c r="H77" t="s">
        <v>29</v>
      </c>
      <c r="I77">
        <v>10</v>
      </c>
      <c r="J77">
        <v>10</v>
      </c>
      <c r="K77">
        <v>14</v>
      </c>
      <c r="L77" t="e">
        <f>BF25</f>
        <v>#VALUE!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143</v>
      </c>
      <c r="S80" t="s">
        <v>135</v>
      </c>
      <c r="T80" t="s">
        <v>136</v>
      </c>
      <c r="V80" t="s">
        <v>138</v>
      </c>
    </row>
    <row r="81" spans="9:22" x14ac:dyDescent="0.25">
      <c r="I81" s="16" t="s">
        <v>1216</v>
      </c>
      <c r="J81" s="17">
        <v>2699</v>
      </c>
      <c r="K81" s="17">
        <v>29</v>
      </c>
      <c r="N81">
        <v>80</v>
      </c>
      <c r="O81">
        <v>50</v>
      </c>
      <c r="P81">
        <v>20</v>
      </c>
      <c r="R81">
        <v>24</v>
      </c>
      <c r="S81">
        <v>1.28</v>
      </c>
      <c r="T81">
        <v>1.3</v>
      </c>
      <c r="V81">
        <v>0</v>
      </c>
    </row>
    <row r="82" spans="9:22" x14ac:dyDescent="0.25">
      <c r="I82" s="16" t="s">
        <v>1217</v>
      </c>
      <c r="J82" s="17">
        <v>3510</v>
      </c>
      <c r="K82" s="17">
        <v>36</v>
      </c>
      <c r="N82">
        <v>70</v>
      </c>
      <c r="O82">
        <v>30</v>
      </c>
      <c r="R82">
        <v>22</v>
      </c>
      <c r="S82" s="11">
        <v>1.2</v>
      </c>
      <c r="T82">
        <v>1.3</v>
      </c>
      <c r="V82">
        <v>90</v>
      </c>
    </row>
    <row r="83" spans="9:22" x14ac:dyDescent="0.25">
      <c r="I83" s="16" t="s">
        <v>1218</v>
      </c>
      <c r="J83" s="17">
        <v>4739</v>
      </c>
      <c r="K83" s="17">
        <v>48</v>
      </c>
      <c r="N83">
        <v>50</v>
      </c>
      <c r="O83">
        <v>10</v>
      </c>
      <c r="R83">
        <v>14</v>
      </c>
    </row>
    <row r="84" spans="9:22" x14ac:dyDescent="0.25">
      <c r="I84" s="16" t="s">
        <v>1219</v>
      </c>
      <c r="J84" s="17">
        <v>5567</v>
      </c>
      <c r="K84" s="17">
        <v>52</v>
      </c>
      <c r="N84">
        <v>30</v>
      </c>
    </row>
    <row r="85" spans="9:22" x14ac:dyDescent="0.25">
      <c r="I85" s="16" t="s">
        <v>1220</v>
      </c>
      <c r="J85" s="17">
        <v>2745</v>
      </c>
      <c r="K85" s="17">
        <v>29</v>
      </c>
      <c r="N85">
        <v>10</v>
      </c>
    </row>
    <row r="86" spans="9:22" x14ac:dyDescent="0.25">
      <c r="I86" s="16" t="s">
        <v>1221</v>
      </c>
      <c r="J86" s="17">
        <v>3570</v>
      </c>
      <c r="K86" s="17">
        <v>36</v>
      </c>
    </row>
    <row r="87" spans="9:22" x14ac:dyDescent="0.25">
      <c r="I87" s="16" t="s">
        <v>1222</v>
      </c>
      <c r="J87" s="17">
        <v>4820</v>
      </c>
      <c r="K87" s="17">
        <v>48</v>
      </c>
    </row>
    <row r="88" spans="9:22" x14ac:dyDescent="0.25">
      <c r="I88" s="16" t="s">
        <v>1223</v>
      </c>
      <c r="J88" s="17">
        <v>5663</v>
      </c>
      <c r="K88" s="17">
        <v>52</v>
      </c>
    </row>
  </sheetData>
  <sheetProtection algorithmName="SHA-512" hashValue="UvVwHpROVUYU++AQibHb6qTuuFn2xAnCEqg5k/gG4/4SpisrcPch5lDzjHdrFISGEXFUkiJ4QUkPKl1vinKHnw==" saltValue="mr/1nMec7Jk4W9Amep0O9A==" spinCount="100000" sheet="1" objects="1" scenarios="1" selectLockedCells="1"/>
  <mergeCells count="4">
    <mergeCell ref="BI5:BK5"/>
    <mergeCell ref="BI6:BK6"/>
    <mergeCell ref="BI7:BK7"/>
    <mergeCell ref="A52:D55"/>
  </mergeCells>
  <conditionalFormatting sqref="C44">
    <cfRule type="cellIs" dxfId="57" priority="2" operator="greaterThan">
      <formula>$F$44</formula>
    </cfRule>
  </conditionalFormatting>
  <conditionalFormatting sqref="C45">
    <cfRule type="cellIs" dxfId="56" priority="1" operator="greaterThan">
      <formula>$F$45</formula>
    </cfRule>
  </conditionalFormatting>
  <dataValidations count="4">
    <dataValidation type="list" allowBlank="1" showInputMessage="1" showErrorMessage="1" sqref="C43" xr:uid="{D38800C1-6E38-4041-891E-2602E4DEB6E1}">
      <formula1>$V$81:$V$82</formula1>
    </dataValidation>
    <dataValidation type="list" allowBlank="1" showInputMessage="1" showErrorMessage="1" sqref="C18" xr:uid="{8E002913-F0D4-4309-8C82-51BB03522DB0}">
      <formula1>$O$81:$O$83</formula1>
    </dataValidation>
    <dataValidation type="list" allowBlank="1" showInputMessage="1" showErrorMessage="1" sqref="C17" xr:uid="{42D3453C-2B37-4E17-B571-E96572866D0F}">
      <formula1>$N$81:$N$85</formula1>
    </dataValidation>
    <dataValidation type="list" allowBlank="1" showInputMessage="1" showErrorMessage="1" sqref="C21" xr:uid="{D41101B9-83FC-4E77-B6DA-CF56C5C106A9}">
      <formula1>$I$81:$I$88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E1369-09BA-45C7-8B63-359F5F2988A4}">
  <sheetPr>
    <pageSetUpPr fitToPage="1"/>
  </sheetPr>
  <dimension ref="A5:BK108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" customWidth="1"/>
    <col min="3" max="3" width="25.7109375" customWidth="1"/>
    <col min="4" max="4" width="5.85546875" bestFit="1" customWidth="1"/>
    <col min="5" max="8" width="9.140625" hidden="1" customWidth="1"/>
    <col min="9" max="9" width="11.57031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1252</v>
      </c>
      <c r="BH7" s="5" t="s">
        <v>1345</v>
      </c>
      <c r="BI7" s="37"/>
      <c r="BJ7" s="37"/>
      <c r="BK7" s="37"/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111</v>
      </c>
      <c r="AY13">
        <v>111</v>
      </c>
      <c r="AZ13">
        <v>111</v>
      </c>
      <c r="BA13">
        <v>106</v>
      </c>
      <c r="BB13">
        <v>106</v>
      </c>
      <c r="BC13">
        <v>106</v>
      </c>
      <c r="BD13">
        <v>102</v>
      </c>
      <c r="BE13">
        <v>102</v>
      </c>
      <c r="BF13">
        <v>102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102</v>
      </c>
      <c r="K14">
        <v>98</v>
      </c>
      <c r="L14">
        <v>93</v>
      </c>
      <c r="M14">
        <v>100</v>
      </c>
      <c r="N14">
        <v>96</v>
      </c>
      <c r="O14">
        <v>92</v>
      </c>
      <c r="P14">
        <v>96</v>
      </c>
      <c r="Q14">
        <v>92</v>
      </c>
      <c r="R14">
        <v>89</v>
      </c>
      <c r="S14">
        <v>92</v>
      </c>
      <c r="T14">
        <v>89</v>
      </c>
      <c r="U14">
        <v>86</v>
      </c>
      <c r="V14">
        <v>88</v>
      </c>
      <c r="W14">
        <v>86</v>
      </c>
      <c r="X14">
        <v>84</v>
      </c>
      <c r="Z14">
        <v>1</v>
      </c>
      <c r="AA14">
        <v>103</v>
      </c>
      <c r="AB14">
        <v>99</v>
      </c>
      <c r="AC14">
        <v>95</v>
      </c>
      <c r="AD14">
        <v>101</v>
      </c>
      <c r="AE14">
        <v>97</v>
      </c>
      <c r="AF14">
        <v>93</v>
      </c>
      <c r="AG14">
        <v>97</v>
      </c>
      <c r="AH14">
        <v>93</v>
      </c>
      <c r="AI14">
        <v>90</v>
      </c>
      <c r="AJ14">
        <v>93</v>
      </c>
      <c r="AK14">
        <v>90</v>
      </c>
      <c r="AL14">
        <v>88</v>
      </c>
      <c r="AM14">
        <v>89</v>
      </c>
      <c r="AN14">
        <v>87</v>
      </c>
      <c r="AO14">
        <v>85</v>
      </c>
      <c r="AQ14">
        <v>1</v>
      </c>
      <c r="AR14">
        <v>104</v>
      </c>
      <c r="AS14">
        <v>99</v>
      </c>
      <c r="AT14">
        <v>96</v>
      </c>
      <c r="AU14">
        <v>102</v>
      </c>
      <c r="AV14">
        <v>98</v>
      </c>
      <c r="AW14">
        <v>94</v>
      </c>
      <c r="AX14">
        <v>97</v>
      </c>
      <c r="AY14">
        <v>94</v>
      </c>
      <c r="AZ14">
        <v>91</v>
      </c>
      <c r="BA14">
        <v>93</v>
      </c>
      <c r="BB14">
        <v>91</v>
      </c>
      <c r="BC14">
        <v>88</v>
      </c>
      <c r="BD14">
        <v>90</v>
      </c>
      <c r="BE14">
        <v>88</v>
      </c>
      <c r="BF14">
        <v>86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88</v>
      </c>
      <c r="K15">
        <v>81</v>
      </c>
      <c r="L15">
        <v>75</v>
      </c>
      <c r="M15">
        <v>86</v>
      </c>
      <c r="N15">
        <v>80</v>
      </c>
      <c r="O15">
        <v>74</v>
      </c>
      <c r="P15">
        <v>83</v>
      </c>
      <c r="Q15">
        <v>77</v>
      </c>
      <c r="R15">
        <v>72</v>
      </c>
      <c r="S15">
        <v>79</v>
      </c>
      <c r="T15">
        <v>75</v>
      </c>
      <c r="U15">
        <v>70</v>
      </c>
      <c r="V15">
        <v>76</v>
      </c>
      <c r="W15">
        <v>72</v>
      </c>
      <c r="X15">
        <v>69</v>
      </c>
      <c r="Z15">
        <v>2</v>
      </c>
      <c r="AA15">
        <v>90</v>
      </c>
      <c r="AB15">
        <v>83</v>
      </c>
      <c r="AC15">
        <v>77</v>
      </c>
      <c r="AD15">
        <v>88</v>
      </c>
      <c r="AE15">
        <v>82</v>
      </c>
      <c r="AF15">
        <v>76</v>
      </c>
      <c r="AG15">
        <v>84</v>
      </c>
      <c r="AH15">
        <v>79</v>
      </c>
      <c r="AI15">
        <v>74</v>
      </c>
      <c r="AJ15">
        <v>81</v>
      </c>
      <c r="AK15">
        <v>77</v>
      </c>
      <c r="AL15">
        <v>73</v>
      </c>
      <c r="AM15">
        <v>78</v>
      </c>
      <c r="AN15">
        <v>74</v>
      </c>
      <c r="AO15">
        <v>71</v>
      </c>
      <c r="AQ15">
        <v>2</v>
      </c>
      <c r="AR15">
        <v>90</v>
      </c>
      <c r="AS15">
        <v>84</v>
      </c>
      <c r="AT15">
        <v>78</v>
      </c>
      <c r="AU15">
        <v>89</v>
      </c>
      <c r="AV15">
        <v>82</v>
      </c>
      <c r="AW15">
        <v>77</v>
      </c>
      <c r="AX15">
        <v>85</v>
      </c>
      <c r="AY15">
        <v>80</v>
      </c>
      <c r="AZ15">
        <v>75</v>
      </c>
      <c r="BA15">
        <v>82</v>
      </c>
      <c r="BB15">
        <v>77</v>
      </c>
      <c r="BC15">
        <v>73</v>
      </c>
      <c r="BD15">
        <v>79</v>
      </c>
      <c r="BE15">
        <v>75</v>
      </c>
      <c r="BF15">
        <v>72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77</v>
      </c>
      <c r="K16">
        <v>68</v>
      </c>
      <c r="L16">
        <v>61</v>
      </c>
      <c r="M16">
        <v>75</v>
      </c>
      <c r="N16">
        <v>67</v>
      </c>
      <c r="O16">
        <v>61</v>
      </c>
      <c r="P16">
        <v>72</v>
      </c>
      <c r="Q16">
        <v>65</v>
      </c>
      <c r="R16">
        <v>60</v>
      </c>
      <c r="S16">
        <v>69</v>
      </c>
      <c r="T16">
        <v>64</v>
      </c>
      <c r="U16">
        <v>59</v>
      </c>
      <c r="V16">
        <v>67</v>
      </c>
      <c r="W16">
        <v>62</v>
      </c>
      <c r="X16">
        <v>58</v>
      </c>
      <c r="Z16">
        <v>3</v>
      </c>
      <c r="AA16">
        <v>79</v>
      </c>
      <c r="AB16">
        <v>70</v>
      </c>
      <c r="AC16">
        <v>64</v>
      </c>
      <c r="AD16">
        <v>77</v>
      </c>
      <c r="AE16">
        <v>69</v>
      </c>
      <c r="AF16">
        <v>63</v>
      </c>
      <c r="AG16">
        <v>74</v>
      </c>
      <c r="AH16">
        <v>68</v>
      </c>
      <c r="AI16">
        <v>62</v>
      </c>
      <c r="AJ16">
        <v>71</v>
      </c>
      <c r="AK16">
        <v>66</v>
      </c>
      <c r="AL16">
        <v>61</v>
      </c>
      <c r="AM16">
        <v>69</v>
      </c>
      <c r="AN16">
        <v>64</v>
      </c>
      <c r="AO16">
        <v>60</v>
      </c>
      <c r="AQ16">
        <v>3</v>
      </c>
      <c r="AR16">
        <v>79</v>
      </c>
      <c r="AS16">
        <v>71</v>
      </c>
      <c r="AT16">
        <v>65</v>
      </c>
      <c r="AU16">
        <v>78</v>
      </c>
      <c r="AV16">
        <v>70</v>
      </c>
      <c r="AW16">
        <v>64</v>
      </c>
      <c r="AX16">
        <v>75</v>
      </c>
      <c r="AY16">
        <v>68</v>
      </c>
      <c r="AZ16">
        <v>63</v>
      </c>
      <c r="BA16">
        <v>72</v>
      </c>
      <c r="BB16">
        <v>66</v>
      </c>
      <c r="BC16">
        <v>62</v>
      </c>
      <c r="BD16">
        <v>69</v>
      </c>
      <c r="BE16">
        <v>65</v>
      </c>
      <c r="BF16">
        <v>61</v>
      </c>
    </row>
    <row r="17" spans="1:63" x14ac:dyDescent="0.25">
      <c r="B17" t="s">
        <v>5</v>
      </c>
      <c r="C17" s="22">
        <v>80</v>
      </c>
      <c r="I17">
        <v>4</v>
      </c>
      <c r="J17">
        <v>68</v>
      </c>
      <c r="K17">
        <v>59</v>
      </c>
      <c r="L17">
        <v>52</v>
      </c>
      <c r="M17">
        <v>67</v>
      </c>
      <c r="N17">
        <v>58</v>
      </c>
      <c r="O17">
        <v>51</v>
      </c>
      <c r="P17">
        <v>64</v>
      </c>
      <c r="Q17">
        <v>56</v>
      </c>
      <c r="R17">
        <v>50</v>
      </c>
      <c r="S17">
        <v>62</v>
      </c>
      <c r="T17">
        <v>55</v>
      </c>
      <c r="U17">
        <v>50</v>
      </c>
      <c r="V17">
        <v>59</v>
      </c>
      <c r="W17">
        <v>54</v>
      </c>
      <c r="X17">
        <v>49</v>
      </c>
      <c r="Z17">
        <v>4</v>
      </c>
      <c r="AA17">
        <v>70</v>
      </c>
      <c r="AB17">
        <v>61</v>
      </c>
      <c r="AC17">
        <v>54</v>
      </c>
      <c r="AD17">
        <v>68</v>
      </c>
      <c r="AE17">
        <v>60</v>
      </c>
      <c r="AF17">
        <v>54</v>
      </c>
      <c r="AG17">
        <v>66</v>
      </c>
      <c r="AH17">
        <v>59</v>
      </c>
      <c r="AI17">
        <v>53</v>
      </c>
      <c r="AJ17">
        <v>63</v>
      </c>
      <c r="AK17">
        <v>57</v>
      </c>
      <c r="AL17">
        <v>52</v>
      </c>
      <c r="AM17">
        <v>61</v>
      </c>
      <c r="AN17">
        <v>56</v>
      </c>
      <c r="AO17">
        <v>51</v>
      </c>
      <c r="AQ17">
        <v>4</v>
      </c>
      <c r="AR17">
        <v>70</v>
      </c>
      <c r="AS17">
        <v>61</v>
      </c>
      <c r="AT17">
        <v>55</v>
      </c>
      <c r="AU17">
        <v>69</v>
      </c>
      <c r="AV17">
        <v>61</v>
      </c>
      <c r="AW17">
        <v>54</v>
      </c>
      <c r="AX17">
        <v>66</v>
      </c>
      <c r="AY17">
        <v>59</v>
      </c>
      <c r="AZ17">
        <v>54</v>
      </c>
      <c r="BA17">
        <v>64</v>
      </c>
      <c r="BB17">
        <v>58</v>
      </c>
      <c r="BC17">
        <v>53</v>
      </c>
      <c r="BD17">
        <v>62</v>
      </c>
      <c r="BE17">
        <v>56</v>
      </c>
      <c r="BF17">
        <v>52</v>
      </c>
    </row>
    <row r="18" spans="1:63" x14ac:dyDescent="0.25">
      <c r="B18" t="s">
        <v>6</v>
      </c>
      <c r="C18" s="22">
        <v>50</v>
      </c>
      <c r="I18">
        <v>5</v>
      </c>
      <c r="J18">
        <v>60</v>
      </c>
      <c r="K18">
        <v>51</v>
      </c>
      <c r="L18">
        <v>44</v>
      </c>
      <c r="M18">
        <v>59</v>
      </c>
      <c r="N18">
        <v>51</v>
      </c>
      <c r="O18">
        <v>44</v>
      </c>
      <c r="P18">
        <v>57</v>
      </c>
      <c r="Q18">
        <v>49</v>
      </c>
      <c r="R18">
        <v>43</v>
      </c>
      <c r="S18">
        <v>55</v>
      </c>
      <c r="T18">
        <v>48</v>
      </c>
      <c r="U18">
        <v>43</v>
      </c>
      <c r="V18">
        <v>53</v>
      </c>
      <c r="W18">
        <v>47</v>
      </c>
      <c r="X18">
        <v>42</v>
      </c>
      <c r="Z18">
        <v>5</v>
      </c>
      <c r="AA18">
        <v>62</v>
      </c>
      <c r="AB18">
        <v>53</v>
      </c>
      <c r="AC18">
        <v>46</v>
      </c>
      <c r="AD18">
        <v>61</v>
      </c>
      <c r="AE18">
        <v>52</v>
      </c>
      <c r="AF18">
        <v>46</v>
      </c>
      <c r="AG18">
        <v>59</v>
      </c>
      <c r="AH18">
        <v>51</v>
      </c>
      <c r="AI18">
        <v>46</v>
      </c>
      <c r="AJ18">
        <v>57</v>
      </c>
      <c r="AK18">
        <v>50</v>
      </c>
      <c r="AL18">
        <v>45</v>
      </c>
      <c r="AM18">
        <v>55</v>
      </c>
      <c r="AN18">
        <v>49</v>
      </c>
      <c r="AO18">
        <v>44</v>
      </c>
      <c r="AQ18">
        <v>5</v>
      </c>
      <c r="AR18">
        <v>63</v>
      </c>
      <c r="AS18">
        <v>54</v>
      </c>
      <c r="AT18">
        <v>47</v>
      </c>
      <c r="AU18">
        <v>62</v>
      </c>
      <c r="AV18">
        <v>53</v>
      </c>
      <c r="AW18">
        <v>47</v>
      </c>
      <c r="AX18">
        <v>59</v>
      </c>
      <c r="AY18">
        <v>52</v>
      </c>
      <c r="AZ18">
        <v>46</v>
      </c>
      <c r="BA18">
        <v>57</v>
      </c>
      <c r="BB18">
        <v>51</v>
      </c>
      <c r="BC18">
        <v>46</v>
      </c>
      <c r="BD18">
        <v>56</v>
      </c>
      <c r="BE18">
        <v>50</v>
      </c>
      <c r="BF18">
        <v>45</v>
      </c>
    </row>
    <row r="19" spans="1:63" x14ac:dyDescent="0.25">
      <c r="B19" t="s">
        <v>7</v>
      </c>
      <c r="C19">
        <v>20</v>
      </c>
      <c r="I19">
        <v>6</v>
      </c>
      <c r="J19">
        <v>54</v>
      </c>
      <c r="K19">
        <v>45</v>
      </c>
      <c r="L19">
        <v>38</v>
      </c>
      <c r="M19">
        <v>53</v>
      </c>
      <c r="N19">
        <v>45</v>
      </c>
      <c r="O19">
        <v>38</v>
      </c>
      <c r="P19">
        <v>51</v>
      </c>
      <c r="Q19">
        <v>44</v>
      </c>
      <c r="R19">
        <v>38</v>
      </c>
      <c r="S19">
        <v>50</v>
      </c>
      <c r="T19">
        <v>43</v>
      </c>
      <c r="U19">
        <v>37</v>
      </c>
      <c r="V19">
        <v>48</v>
      </c>
      <c r="W19">
        <v>42</v>
      </c>
      <c r="X19">
        <v>37</v>
      </c>
      <c r="Z19">
        <v>6</v>
      </c>
      <c r="AA19">
        <v>56</v>
      </c>
      <c r="AB19">
        <v>47</v>
      </c>
      <c r="AC19">
        <v>40</v>
      </c>
      <c r="AD19">
        <v>55</v>
      </c>
      <c r="AE19">
        <v>46</v>
      </c>
      <c r="AF19">
        <v>40</v>
      </c>
      <c r="AG19">
        <v>53</v>
      </c>
      <c r="AH19">
        <v>46</v>
      </c>
      <c r="AI19">
        <v>40</v>
      </c>
      <c r="AJ19">
        <v>51</v>
      </c>
      <c r="AK19">
        <v>45</v>
      </c>
      <c r="AL19">
        <v>39</v>
      </c>
      <c r="AM19">
        <v>50</v>
      </c>
      <c r="AN19">
        <v>44</v>
      </c>
      <c r="AO19">
        <v>39</v>
      </c>
      <c r="AQ19">
        <v>6</v>
      </c>
      <c r="AR19">
        <v>57</v>
      </c>
      <c r="AS19">
        <v>48</v>
      </c>
      <c r="AT19">
        <v>41</v>
      </c>
      <c r="AU19">
        <v>56</v>
      </c>
      <c r="AV19">
        <v>47</v>
      </c>
      <c r="AW19">
        <v>41</v>
      </c>
      <c r="AX19">
        <v>54</v>
      </c>
      <c r="AY19">
        <v>46</v>
      </c>
      <c r="AZ19">
        <v>40</v>
      </c>
      <c r="BA19">
        <v>52</v>
      </c>
      <c r="BB19">
        <v>45</v>
      </c>
      <c r="BC19">
        <v>40</v>
      </c>
      <c r="BD19">
        <v>50</v>
      </c>
      <c r="BE19">
        <v>44</v>
      </c>
      <c r="BF19">
        <v>40</v>
      </c>
    </row>
    <row r="20" spans="1:63" x14ac:dyDescent="0.25">
      <c r="I20">
        <v>7</v>
      </c>
      <c r="J20">
        <v>49</v>
      </c>
      <c r="K20">
        <v>40</v>
      </c>
      <c r="L20">
        <v>34</v>
      </c>
      <c r="M20">
        <v>48</v>
      </c>
      <c r="N20">
        <v>40</v>
      </c>
      <c r="O20">
        <v>34</v>
      </c>
      <c r="P20">
        <v>47</v>
      </c>
      <c r="Q20">
        <v>39</v>
      </c>
      <c r="R20">
        <v>33</v>
      </c>
      <c r="S20">
        <v>45</v>
      </c>
      <c r="T20">
        <v>38</v>
      </c>
      <c r="U20">
        <v>33</v>
      </c>
      <c r="V20">
        <v>44</v>
      </c>
      <c r="W20">
        <v>38</v>
      </c>
      <c r="X20">
        <v>33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41</v>
      </c>
      <c r="AF20">
        <v>35</v>
      </c>
      <c r="AG20">
        <v>48</v>
      </c>
      <c r="AH20">
        <v>41</v>
      </c>
      <c r="AI20">
        <v>35</v>
      </c>
      <c r="AJ20">
        <v>47</v>
      </c>
      <c r="AK20">
        <v>40</v>
      </c>
      <c r="AL20">
        <v>35</v>
      </c>
      <c r="AM20">
        <v>45</v>
      </c>
      <c r="AN20">
        <v>39</v>
      </c>
      <c r="AO20">
        <v>35</v>
      </c>
      <c r="AQ20">
        <v>7</v>
      </c>
      <c r="AR20">
        <v>51</v>
      </c>
      <c r="AS20">
        <v>42</v>
      </c>
      <c r="AT20">
        <v>36</v>
      </c>
      <c r="AU20">
        <v>50</v>
      </c>
      <c r="AV20">
        <v>42</v>
      </c>
      <c r="AW20">
        <v>36</v>
      </c>
      <c r="AX20">
        <v>49</v>
      </c>
      <c r="AY20">
        <v>41</v>
      </c>
      <c r="AZ20">
        <v>36</v>
      </c>
      <c r="BA20">
        <v>47</v>
      </c>
      <c r="BB20">
        <v>41</v>
      </c>
      <c r="BC20">
        <v>36</v>
      </c>
      <c r="BD20">
        <v>46</v>
      </c>
      <c r="BE20">
        <v>40</v>
      </c>
      <c r="BF20">
        <v>35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45</v>
      </c>
      <c r="K21">
        <v>36</v>
      </c>
      <c r="L21">
        <v>30</v>
      </c>
      <c r="M21">
        <v>44</v>
      </c>
      <c r="N21">
        <v>36</v>
      </c>
      <c r="O21">
        <v>30</v>
      </c>
      <c r="P21">
        <v>43</v>
      </c>
      <c r="Q21">
        <v>35</v>
      </c>
      <c r="R21">
        <v>30</v>
      </c>
      <c r="S21">
        <v>41</v>
      </c>
      <c r="T21">
        <v>35</v>
      </c>
      <c r="U21">
        <v>30</v>
      </c>
      <c r="V21">
        <v>40</v>
      </c>
      <c r="W21">
        <v>34</v>
      </c>
      <c r="X21">
        <v>29</v>
      </c>
      <c r="Z21">
        <v>8</v>
      </c>
      <c r="AA21">
        <v>46</v>
      </c>
      <c r="AB21">
        <v>38</v>
      </c>
      <c r="AC21">
        <v>32</v>
      </c>
      <c r="AD21">
        <v>46</v>
      </c>
      <c r="AE21">
        <v>37</v>
      </c>
      <c r="AF21">
        <v>32</v>
      </c>
      <c r="AG21">
        <v>44</v>
      </c>
      <c r="AH21">
        <v>37</v>
      </c>
      <c r="AI21">
        <v>31</v>
      </c>
      <c r="AJ21">
        <v>43</v>
      </c>
      <c r="AK21">
        <v>36</v>
      </c>
      <c r="AL21">
        <v>31</v>
      </c>
      <c r="AM21">
        <v>42</v>
      </c>
      <c r="AN21">
        <v>36</v>
      </c>
      <c r="AO21">
        <v>31</v>
      </c>
      <c r="AQ21">
        <v>8</v>
      </c>
      <c r="AR21">
        <v>47</v>
      </c>
      <c r="AS21">
        <v>38</v>
      </c>
      <c r="AT21">
        <v>32</v>
      </c>
      <c r="AU21">
        <v>46</v>
      </c>
      <c r="AV21">
        <v>38</v>
      </c>
      <c r="AW21">
        <v>32</v>
      </c>
      <c r="AX21">
        <v>45</v>
      </c>
      <c r="AY21">
        <v>37</v>
      </c>
      <c r="AZ21">
        <v>32</v>
      </c>
      <c r="BA21">
        <v>43</v>
      </c>
      <c r="BB21">
        <v>37</v>
      </c>
      <c r="BC21">
        <v>32</v>
      </c>
      <c r="BD21">
        <v>42</v>
      </c>
      <c r="BE21">
        <v>36</v>
      </c>
      <c r="BF21">
        <v>32</v>
      </c>
    </row>
    <row r="22" spans="1:63" x14ac:dyDescent="0.25">
      <c r="B22" t="s">
        <v>30</v>
      </c>
      <c r="C22" s="4" t="e">
        <f>VLOOKUP(C21,Model5169179189[],2,0)</f>
        <v>#N/A</v>
      </c>
      <c r="D22" t="s">
        <v>131</v>
      </c>
      <c r="I22">
        <v>9</v>
      </c>
      <c r="J22">
        <v>41</v>
      </c>
      <c r="K22">
        <v>33</v>
      </c>
      <c r="L22">
        <v>27</v>
      </c>
      <c r="M22">
        <v>40</v>
      </c>
      <c r="N22">
        <v>32</v>
      </c>
      <c r="O22">
        <v>27</v>
      </c>
      <c r="P22">
        <v>39</v>
      </c>
      <c r="Q22">
        <v>32</v>
      </c>
      <c r="R22">
        <v>27</v>
      </c>
      <c r="S22">
        <v>38</v>
      </c>
      <c r="T22">
        <v>31</v>
      </c>
      <c r="U22">
        <v>27</v>
      </c>
      <c r="V22">
        <v>37</v>
      </c>
      <c r="W22">
        <v>31</v>
      </c>
      <c r="X22">
        <v>26</v>
      </c>
      <c r="Z22">
        <v>9</v>
      </c>
      <c r="AA22">
        <v>42</v>
      </c>
      <c r="AB22">
        <v>34</v>
      </c>
      <c r="AC22">
        <v>29</v>
      </c>
      <c r="AD22">
        <v>42</v>
      </c>
      <c r="AE22">
        <v>34</v>
      </c>
      <c r="AF22">
        <v>28</v>
      </c>
      <c r="AG22">
        <v>41</v>
      </c>
      <c r="AH22">
        <v>33</v>
      </c>
      <c r="AI22">
        <v>28</v>
      </c>
      <c r="AJ22">
        <v>40</v>
      </c>
      <c r="AK22">
        <v>33</v>
      </c>
      <c r="AL22">
        <v>28</v>
      </c>
      <c r="AM22">
        <v>38</v>
      </c>
      <c r="AN22">
        <v>32</v>
      </c>
      <c r="AO22">
        <v>28</v>
      </c>
      <c r="AQ22">
        <v>9</v>
      </c>
      <c r="AR22">
        <v>43</v>
      </c>
      <c r="AS22">
        <v>35</v>
      </c>
      <c r="AT22">
        <v>29</v>
      </c>
      <c r="AU22">
        <v>42</v>
      </c>
      <c r="AV22">
        <v>34</v>
      </c>
      <c r="AW22">
        <v>29</v>
      </c>
      <c r="AX22">
        <v>41</v>
      </c>
      <c r="AY22">
        <v>34</v>
      </c>
      <c r="AZ22">
        <v>29</v>
      </c>
      <c r="BA22">
        <v>40</v>
      </c>
      <c r="BB22">
        <v>33</v>
      </c>
      <c r="BC22">
        <v>29</v>
      </c>
      <c r="BD22">
        <v>39</v>
      </c>
      <c r="BE22">
        <v>33</v>
      </c>
      <c r="BF22">
        <v>28</v>
      </c>
    </row>
    <row r="23" spans="1:63" x14ac:dyDescent="0.25">
      <c r="B23" t="s">
        <v>31</v>
      </c>
      <c r="C23" t="e">
        <f>VLOOKUP(C21,Model5169179189[],3,FALSE)</f>
        <v>#N/A</v>
      </c>
      <c r="D23" t="s">
        <v>132</v>
      </c>
      <c r="I23">
        <v>10</v>
      </c>
      <c r="J23">
        <v>38</v>
      </c>
      <c r="K23">
        <v>30</v>
      </c>
      <c r="L23">
        <v>24</v>
      </c>
      <c r="M23">
        <v>37</v>
      </c>
      <c r="N23">
        <v>30</v>
      </c>
      <c r="O23">
        <v>24</v>
      </c>
      <c r="P23">
        <v>36</v>
      </c>
      <c r="Q23">
        <v>29</v>
      </c>
      <c r="R23">
        <v>24</v>
      </c>
      <c r="S23">
        <v>35</v>
      </c>
      <c r="T23">
        <v>29</v>
      </c>
      <c r="U23">
        <v>24</v>
      </c>
      <c r="V23">
        <v>34</v>
      </c>
      <c r="W23">
        <v>28</v>
      </c>
      <c r="X23">
        <v>24</v>
      </c>
      <c r="Z23">
        <v>10</v>
      </c>
      <c r="AA23">
        <v>39</v>
      </c>
      <c r="AB23">
        <v>31</v>
      </c>
      <c r="AC23">
        <v>26</v>
      </c>
      <c r="AD23">
        <v>39</v>
      </c>
      <c r="AE23">
        <v>31</v>
      </c>
      <c r="AF23">
        <v>26</v>
      </c>
      <c r="AG23">
        <v>38</v>
      </c>
      <c r="AH23">
        <v>31</v>
      </c>
      <c r="AI23">
        <v>26</v>
      </c>
      <c r="AJ23">
        <v>37</v>
      </c>
      <c r="AK23">
        <v>30</v>
      </c>
      <c r="AL23">
        <v>26</v>
      </c>
      <c r="AM23">
        <v>36</v>
      </c>
      <c r="AN23">
        <v>30</v>
      </c>
      <c r="AO23">
        <v>25</v>
      </c>
      <c r="AQ23">
        <v>10</v>
      </c>
      <c r="AR23">
        <v>40</v>
      </c>
      <c r="AS23">
        <v>32</v>
      </c>
      <c r="AT23">
        <v>26</v>
      </c>
      <c r="AU23">
        <v>39</v>
      </c>
      <c r="AV23">
        <v>31</v>
      </c>
      <c r="AW23">
        <v>26</v>
      </c>
      <c r="AX23">
        <v>38</v>
      </c>
      <c r="AY23">
        <v>31</v>
      </c>
      <c r="AZ23">
        <v>26</v>
      </c>
      <c r="BA23">
        <v>37</v>
      </c>
      <c r="BB23">
        <v>31</v>
      </c>
      <c r="BC23">
        <v>26</v>
      </c>
      <c r="BD23">
        <v>36</v>
      </c>
      <c r="BE23">
        <v>30</v>
      </c>
      <c r="BF23">
        <v>26</v>
      </c>
    </row>
    <row r="24" spans="1:63" x14ac:dyDescent="0.25">
      <c r="B24" t="s">
        <v>3</v>
      </c>
      <c r="C24" s="11" t="e">
        <f t="array" ref="C24">INDEX(CUtable4168178188[],MATCH(1,(CUtable4168178188[RC]=C17)*(CUtable4168178188[RW]=C18)*(CUtable4168178188[Size]=E21),0),4)</f>
        <v>#DIV/0!</v>
      </c>
      <c r="H24" s="5"/>
    </row>
    <row r="25" spans="1:63" x14ac:dyDescent="0.25">
      <c r="B25" t="s">
        <v>133</v>
      </c>
      <c r="C25" s="11">
        <f>VLOOKUP(E21,Table81217173183193[],2,FALSE)</f>
        <v>1.24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</row>
    <row r="26" spans="1:63" x14ac:dyDescent="0.25">
      <c r="B26" t="s">
        <v>134</v>
      </c>
      <c r="C26" s="11">
        <f>VLOOKUP(E21,Table81217173183193[],3,FALSE)</f>
        <v>1.34</v>
      </c>
      <c r="H26" s="5"/>
      <c r="I26" t="s">
        <v>218</v>
      </c>
      <c r="J26">
        <f>INDEX(LINEST(Table2x4167177187[CU],Table2x4167177187[RCR]^{1,2,3}),1)</f>
        <v>-5.4001554001554174E-2</v>
      </c>
      <c r="K26">
        <f>INDEX(LINEST(Table2x4167177187[CU1],Table2x4167177187[RCR]^{1,2,3}),1)</f>
        <v>-8.7412587412587714E-2</v>
      </c>
      <c r="L26">
        <f>INDEX(LINEST(Table2x4167177187[CU2],Table2x4167177187[RCR]^{1,2,3}),1)</f>
        <v>-0.12567987567987618</v>
      </c>
      <c r="M26">
        <f>INDEX(LINEST(Table2x4167177187[CU3],Table2x4167177187[RCR]^{1,2,3}),1)</f>
        <v>-5.2253302253302471E-2</v>
      </c>
      <c r="N26">
        <f>INDEX(LINEST(Table2x4167177187[CU4],Table2x4167177187[RCR]^{1,2,3}),1)</f>
        <v>-8.255633255633292E-2</v>
      </c>
      <c r="O26">
        <f>INDEX(LINEST(Table2x4167177187[CU5],Table2x4167177187[RCR]^{1,2,3}),1)</f>
        <v>-0.1163558663558668</v>
      </c>
      <c r="P26">
        <f>INDEX(LINEST(Table2x4167177187[CU6],Table2x4167177187[RCR]^{1,2,3}),1)</f>
        <v>-5.2641802641802946E-2</v>
      </c>
      <c r="Q26">
        <f>INDEX(LINEST(Table2x4167177187[CU7],Table2x4167177187[RCR]^{1,2,3}),1)</f>
        <v>-7.9642579642579994E-2</v>
      </c>
      <c r="R26">
        <f>INDEX(LINEST(Table2x4167177187[CU8],Table2x4167177187[RCR]^{1,2,3}),1)</f>
        <v>-0.10198135198135262</v>
      </c>
      <c r="S26">
        <f>INDEX(LINEST(Table2x4167177187[CU9],Table2x4167177187[RCR]^{1,2,3}),1)</f>
        <v>-4.856254856254881E-2</v>
      </c>
      <c r="T26">
        <f>INDEX(LINEST(Table2x4167177187[CU10],Table2x4167177187[RCR]^{1,2,3}),1)</f>
        <v>-6.1383061383061675E-2</v>
      </c>
      <c r="U26">
        <f>INDEX(LINEST(Table2x4167177187[CU11],Table2x4167177187[RCR]^{1,2,3}),1)</f>
        <v>-8.6635586635586875E-2</v>
      </c>
      <c r="V26">
        <f>INDEX(LINEST(Table2x4167177187[CU12],Table2x4167177187[RCR]^{1,2,3}),1)</f>
        <v>-5.0310800310800569E-2</v>
      </c>
      <c r="W26">
        <f>INDEX(LINEST(Table2x4167177187[CU13],Table2x4167177187[RCR]^{1,2,3}),1)</f>
        <v>-6.4879564879565241E-2</v>
      </c>
      <c r="X26">
        <f>INDEX(LINEST(Table2x4167177187[CU14],Table2x4167177187[RCR]^{1,2,3}),1)</f>
        <v>-7.1678321678322318E-2</v>
      </c>
      <c r="Z26" t="s">
        <v>218</v>
      </c>
      <c r="AA26">
        <f>INDEX(LINEST(Table2x2174184194[CU],Table2x2174184194[RCR]^{1,2,3}),1)</f>
        <v>-4.3900543900544153E-2</v>
      </c>
      <c r="AB26">
        <f>INDEX(LINEST(Table2x2174184194[CU1],Table2x2174184194[RCR]^{1,2,3}),1)</f>
        <v>-8.1585081585081765E-2</v>
      </c>
      <c r="AC26">
        <f>INDEX(LINEST(Table2x2174184194[CU2],Table2x2174184194[RCR]^{1,2,3}),1)</f>
        <v>-0.10955710955710977</v>
      </c>
      <c r="AD26">
        <f>INDEX(LINEST(Table2x2174184194[CU3],Table2x2174184194[RCR]^{1,2,3}),1)</f>
        <v>-4.4483294483294571E-2</v>
      </c>
      <c r="AE26">
        <f>INDEX(LINEST(Table2x2174184194[CU4],Table2x2174184194[RCR]^{1,2,3}),1)</f>
        <v>-6.6433566433566987E-2</v>
      </c>
      <c r="AF26">
        <f>INDEX(LINEST(Table2x2174184194[CU5],Table2x2174184194[RCR]^{1,2,3}),1)</f>
        <v>-9.7513597513597686E-2</v>
      </c>
      <c r="AG26">
        <f>INDEX(LINEST(Table2x2174184194[CU6],Table2x2174184194[RCR]^{1,2,3}),1)</f>
        <v>-3.7684537684537847E-2</v>
      </c>
      <c r="AH26">
        <f>INDEX(LINEST(Table2x2174184194[CU7],Table2x2174184194[RCR]^{1,2,3}),1)</f>
        <v>-6.0800310800311078E-2</v>
      </c>
      <c r="AI26">
        <f>INDEX(LINEST(Table2x2174184194[CU8],Table2x2174184194[RCR]^{1,2,3}),1)</f>
        <v>-8.3333333333333509E-2</v>
      </c>
      <c r="AJ26">
        <f>INDEX(LINEST(Table2x2174184194[CU9],Table2x2174184194[RCR]^{1,2,3}),1)</f>
        <v>-3.8073038073038391E-2</v>
      </c>
      <c r="AK26">
        <f>INDEX(LINEST(Table2x2174184194[CU10],Table2x2174184194[RCR]^{1,2,3}),1)</f>
        <v>-5.2447552447552781E-2</v>
      </c>
      <c r="AL26">
        <f>INDEX(LINEST(Table2x2174184194[CU11],Table2x2174184194[RCR]^{1,2,3}),1)</f>
        <v>-6.5268065268065445E-2</v>
      </c>
      <c r="AM26">
        <f>INDEX(LINEST(Table2x2174184194[CU12],Table2x2174184194[RCR]^{1,2,3}),1)</f>
        <v>-3.4188034188034379E-2</v>
      </c>
      <c r="AN26">
        <f>INDEX(LINEST(Table2x2174184194[CU13],Table2x2174184194[RCR]^{1,2,3}),1)</f>
        <v>-4.875679875679894E-2</v>
      </c>
      <c r="AO26">
        <f>INDEX(LINEST(Table2x2174184194[CU14],Table2x2174184194[RCR]^{1,2,3}),1)</f>
        <v>-6.701631701631737E-2</v>
      </c>
      <c r="AQ26" t="s">
        <v>218</v>
      </c>
      <c r="AR26">
        <f>INDEX(LINEST(Table1x4176186196[CU],Table1x4176186196[RCR]^{1,2,3}),1)</f>
        <v>-4.5066045066045196E-2</v>
      </c>
      <c r="AS26">
        <f>INDEX(LINEST(Table1x4176186196[CU1],Table1x4176186196[RCR]^{1,2,3}),1)</f>
        <v>-7.0901320901321049E-2</v>
      </c>
      <c r="AT26">
        <f>INDEX(LINEST(Table1x4176186196[CU2],Table1x4176186196[RCR]^{1,2,3}),1)</f>
        <v>-9.9650349650349981E-2</v>
      </c>
      <c r="AU26">
        <f>INDEX(LINEST(Table1x4176186196[CU3],Table1x4176186196[RCR]^{1,2,3}),1)</f>
        <v>-3.4576534576534902E-2</v>
      </c>
      <c r="AV26">
        <f>INDEX(LINEST(Table1x4176186196[CU4],Table1x4176186196[RCR]^{1,2,3}),1)</f>
        <v>-6.9541569541569759E-2</v>
      </c>
      <c r="AW26">
        <f>INDEX(LINEST(Table1x4176186196[CU5],Table1x4176186196[RCR]^{1,2,3}),1)</f>
        <v>-9.5959595959596231E-2</v>
      </c>
      <c r="AX26">
        <f>INDEX(LINEST(Table1x4176186196[CU6],Table1x4176186196[RCR]^{1,2,3}),1)</f>
        <v>-4.0404040404040699E-2</v>
      </c>
      <c r="AY26">
        <f>INDEX(LINEST(Table1x4176186196[CU7],Table1x4176186196[RCR]^{1,2,3}),1)</f>
        <v>-5.6526806526806667E-2</v>
      </c>
      <c r="AZ26">
        <f>INDEX(LINEST(Table1x4176186196[CU8],Table1x4176186196[RCR]^{1,2,3}),1)</f>
        <v>-8.0613830613831067E-2</v>
      </c>
      <c r="BA26">
        <f>INDEX(LINEST(Table1x4176186196[CU9],Table1x4176186196[RCR]^{1,2,3}),1)</f>
        <v>-2.9331779331779547E-2</v>
      </c>
      <c r="BB26">
        <f>INDEX(LINEST(Table1x4176186196[CU10],Table1x4176186196[RCR]^{1,2,3}),1)</f>
        <v>-5.1476301476301806E-2</v>
      </c>
      <c r="BC26">
        <f>INDEX(LINEST(Table1x4176186196[CU11],Table1x4176186196[RCR]^{1,2,3}),1)</f>
        <v>-7.0707070707070954E-2</v>
      </c>
      <c r="BD26">
        <f>INDEX(LINEST(Table1x4176186196[CU12],Table1x4176186196[RCR]^{1,2,3}),1)</f>
        <v>-3.1662781662781782E-2</v>
      </c>
      <c r="BE26">
        <f>INDEX(LINEST(Table1x4176186196[CU13],Table1x4176186196[RCR]^{1,2,3}),1)</f>
        <v>-4.4483294483294744E-2</v>
      </c>
      <c r="BF26">
        <f>INDEX(LINEST(Table1x4176186196[CU14],Table1x4176186196[RCR]^{1,2,3}),1)</f>
        <v>-5.5555555555556115E-2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INDEX(LINEST(Table2x4167177187[CU],Table2x4167177187[RCR]^{1,2,3}),1,2)</f>
        <v>1.5396270396270413</v>
      </c>
      <c r="K27">
        <f>INDEX(LINEST(Table2x4167177187[CU1],Table2x4167177187[RCR]^{1,2,3}),1,2)</f>
        <v>2.255244755244759</v>
      </c>
      <c r="L27">
        <f>INDEX(LINEST(Table2x4167177187[CU2],Table2x4167177187[RCR]^{1,2,3}),1,2)</f>
        <v>2.9807692307692384</v>
      </c>
      <c r="M27">
        <f>INDEX(LINEST(Table2x4167177187[CU3],Table2x4167177187[RCR]^{1,2,3}),1,2)</f>
        <v>1.479603729603733</v>
      </c>
      <c r="N27">
        <f>INDEX(LINEST(Table2x4167177187[CU4],Table2x4167177187[RCR]^{1,2,3}),1,2)</f>
        <v>2.1276223776223819</v>
      </c>
      <c r="O27">
        <f>INDEX(LINEST(Table2x4167177187[CU5],Table2x4167177187[RCR]^{1,2,3}),1,2)</f>
        <v>2.7931235431235484</v>
      </c>
      <c r="P27">
        <f>INDEX(LINEST(Table2x4167177187[CU6],Table2x4167177187[RCR]^{1,2,3}),1,2)</f>
        <v>1.4539627039627072</v>
      </c>
      <c r="Q27">
        <f>INDEX(LINEST(Table2x4167177187[CU7],Table2x4167177187[RCR]^{1,2,3}),1,2)</f>
        <v>2.0314685314685352</v>
      </c>
      <c r="R27">
        <f>INDEX(LINEST(Table2x4167177187[CU8],Table2x4167177187[RCR]^{1,2,3}),1,2)</f>
        <v>2.5075757575757671</v>
      </c>
      <c r="S27">
        <f>INDEX(LINEST(Table2x4167177187[CU9],Table2x4167177187[RCR]^{1,2,3}),1,2)</f>
        <v>1.3496503496503527</v>
      </c>
      <c r="T27">
        <f>INDEX(LINEST(Table2x4167177187[CU10],Table2x4167177187[RCR]^{1,2,3}),1,2)</f>
        <v>1.6911421911421953</v>
      </c>
      <c r="U27">
        <f>INDEX(LINEST(Table2x4167177187[CU11],Table2x4167177187[RCR]^{1,2,3}),1,2)</f>
        <v>2.1888111888111914</v>
      </c>
      <c r="V27">
        <f>INDEX(LINEST(Table2x4167177187[CU12],Table2x4167177187[RCR]^{1,2,3}),1,2)</f>
        <v>1.3548951048951081</v>
      </c>
      <c r="W27">
        <f>INDEX(LINEST(Table2x4167177187[CU13],Table2x4167177187[RCR]^{1,2,3}),1,2)</f>
        <v>1.6864801864801908</v>
      </c>
      <c r="X27">
        <f>INDEX(LINEST(Table2x4167177187[CU14],Table2x4167177187[RCR]^{1,2,3}),1,2)</f>
        <v>1.9050116550116638</v>
      </c>
      <c r="Z27" t="s">
        <v>219</v>
      </c>
      <c r="AA27">
        <f>INDEX(LINEST(Table2x2174184194[CU],Table2x2174184194[RCR]^{1,2,3}),1,2)</f>
        <v>1.322843822843826</v>
      </c>
      <c r="AB27">
        <f>INDEX(LINEST(Table2x2174184194[CU1],Table2x2174184194[RCR]^{1,2,3}),1,2)</f>
        <v>2.101398601398603</v>
      </c>
      <c r="AC27">
        <f>INDEX(LINEST(Table2x2174184194[CU2],Table2x2174184194[RCR]^{1,2,3}),1,2)</f>
        <v>2.696969696969699</v>
      </c>
      <c r="AD27">
        <f>INDEX(LINEST(Table2x2174184194[CU3],Table2x2174184194[RCR]^{1,2,3}),1,2)</f>
        <v>1.3315850815850818</v>
      </c>
      <c r="AE27">
        <f>INDEX(LINEST(Table2x2174184194[CU4],Table2x2174184194[RCR]^{1,2,3}),1,2)</f>
        <v>1.8566433566433653</v>
      </c>
      <c r="AF27">
        <f>INDEX(LINEST(Table2x2174184194[CU5],Table2x2174184194[RCR]^{1,2,3}),1,2)</f>
        <v>2.4580419580419597</v>
      </c>
      <c r="AG27">
        <f>INDEX(LINEST(Table2x2174184194[CU6],Table2x2174184194[RCR]^{1,2,3}),1,2)</f>
        <v>1.196969696969699</v>
      </c>
      <c r="AH27">
        <f>INDEX(LINEST(Table2x2174184194[CU7],Table2x2174184194[RCR]^{1,2,3}),1,2)</f>
        <v>1.6824009324009364</v>
      </c>
      <c r="AI27">
        <f>INDEX(LINEST(Table2x2174184194[CU8],Table2x2174184194[RCR]^{1,2,3}),1,2)</f>
        <v>2.15792540792541</v>
      </c>
      <c r="AJ27">
        <f>INDEX(LINEST(Table2x2174184194[CU9],Table2x2174184194[RCR]^{1,2,3}),1,2)</f>
        <v>1.1713286713286759</v>
      </c>
      <c r="AK27">
        <f>INDEX(LINEST(Table2x2174184194[CU10],Table2x2174184194[RCR]^{1,2,3}),1,2)</f>
        <v>1.4988344988345033</v>
      </c>
      <c r="AL27">
        <f>INDEX(LINEST(Table2x2174184194[CU11],Table2x2174184194[RCR]^{1,2,3}),1,2)</f>
        <v>1.8263403263403279</v>
      </c>
      <c r="AM27">
        <f>INDEX(LINEST(Table2x2174184194[CU12],Table2x2174184194[RCR]^{1,2,3}),1,2)</f>
        <v>1.0710955710955741</v>
      </c>
      <c r="AN27">
        <f>INDEX(LINEST(Table2x2174184194[CU13],Table2x2174184194[RCR]^{1,2,3}),1,2)</f>
        <v>1.4026806526806554</v>
      </c>
      <c r="AO27">
        <f>INDEX(LINEST(Table2x2174184194[CU14],Table2x2174184194[RCR]^{1,2,3}),1,2)</f>
        <v>1.7756410256410302</v>
      </c>
      <c r="AQ27" t="s">
        <v>219</v>
      </c>
      <c r="AR27">
        <f>INDEX(LINEST(Table1x4176186196[CU],Table1x4176186196[RCR]^{1,2,3}),1,2)</f>
        <v>1.3484848484848493</v>
      </c>
      <c r="AS27">
        <f>INDEX(LINEST(Table1x4176186196[CU1],Table1x4176186196[RCR]^{1,2,3}),1,2)</f>
        <v>1.9353146853146861</v>
      </c>
      <c r="AT27">
        <f>INDEX(LINEST(Table1x4176186196[CU2],Table1x4176186196[RCR]^{1,2,3}),1,2)</f>
        <v>2.514568764568768</v>
      </c>
      <c r="AU27">
        <f>INDEX(LINEST(Table1x4176186196[CU3],Table1x4176186196[RCR]^{1,2,3}),1,2)</f>
        <v>1.1491841491841532</v>
      </c>
      <c r="AV27">
        <f>INDEX(LINEST(Table1x4176186196[CU4],Table1x4176186196[RCR]^{1,2,3}),1,2)</f>
        <v>1.8624708624708648</v>
      </c>
      <c r="AW27">
        <f>INDEX(LINEST(Table1x4176186196[CU5],Table1x4176186196[RCR]^{1,2,3}),1,2)</f>
        <v>2.4114219114219146</v>
      </c>
      <c r="AX27">
        <f>INDEX(LINEST(Table1x4176186196[CU6],Table1x4176186196[RCR]^{1,2,3}),1,2)</f>
        <v>1.2109557109557152</v>
      </c>
      <c r="AY27">
        <f>INDEX(LINEST(Table1x4176186196[CU7],Table1x4176186196[RCR]^{1,2,3}),1,2)</f>
        <v>1.6194638694638706</v>
      </c>
      <c r="AZ27">
        <f>INDEX(LINEST(Table1x4176186196[CU8],Table1x4176186196[RCR]^{1,2,3}),1,2)</f>
        <v>2.1043123543123605</v>
      </c>
      <c r="BA27">
        <f>INDEX(LINEST(Table1x4176186196[CU9],Table1x4176186196[RCR]^{1,2,3}),1,2)</f>
        <v>1.0110722610722638</v>
      </c>
      <c r="BB27">
        <f>INDEX(LINEST(Table1x4176186196[CU10],Table1x4176186196[RCR]^{1,2,3}),1,2)</f>
        <v>1.4784382284382334</v>
      </c>
      <c r="BC27">
        <f>INDEX(LINEST(Table1x4176186196[CU11],Table1x4176186196[RCR]^{1,2,3}),1,2)</f>
        <v>1.86713286713287</v>
      </c>
      <c r="BD27">
        <f>INDEX(LINEST(Table1x4176186196[CU12],Table1x4176186196[RCR]^{1,2,3}),1,2)</f>
        <v>1.0168997668997684</v>
      </c>
      <c r="BE27">
        <f>INDEX(LINEST(Table1x4176186196[CU13],Table1x4176186196[RCR]^{1,2,3}),1,2)</f>
        <v>1.3257575757575792</v>
      </c>
      <c r="BF27">
        <f>INDEX(LINEST(Table1x4176186196[CU14],Table1x4176186196[RCR]^{1,2,3}),1,2)</f>
        <v>1.5862470862470941</v>
      </c>
    </row>
    <row r="28" spans="1:63" x14ac:dyDescent="0.25">
      <c r="C28" s="3"/>
      <c r="H28" s="5"/>
      <c r="I28" t="s">
        <v>220</v>
      </c>
      <c r="J28">
        <f t="array" ref="J28">INDEX(LINEST(Table2x4167177187[CU],Table2x4167177187[RCR]^{1,2,3}),1,3)</f>
        <v>-18.09401709401709</v>
      </c>
      <c r="K28">
        <f>INDEX(LINEST(Table2x4167177187[CU1],Table2x4167177187[RCR]^{1,2,3}),1,3)</f>
        <v>-22.71328671328672</v>
      </c>
      <c r="L28">
        <f>INDEX(LINEST(Table2x4167177187[CU2],Table2x4167177187[RCR]^{1,2,3}),1,3)</f>
        <v>-26.708236208236233</v>
      </c>
      <c r="M28">
        <f>INDEX(LINEST(Table2x4167177187[CU3],Table2x4167177187[RCR]^{1,2,3}),1,3)</f>
        <v>-17.483294483294493</v>
      </c>
      <c r="N28">
        <f>INDEX(LINEST(Table2x4167177187[CU4],Table2x4167177187[RCR]^{1,2,3}),1,3)</f>
        <v>-21.660450660450667</v>
      </c>
      <c r="O28">
        <f>INDEX(LINEST(Table2x4167177187[CU5],Table2x4167177187[RCR]^{1,2,3}),1,3)</f>
        <v>-25.487956487956495</v>
      </c>
      <c r="P28">
        <f>INDEX(LINEST(Table2x4167177187[CU6],Table2x4167177187[RCR]^{1,2,3}),1,3)</f>
        <v>-16.799922299922301</v>
      </c>
      <c r="Q28">
        <f>INDEX(LINEST(Table2x4167177187[CU7],Table2x4167177187[RCR]^{1,2,3}),1,3)</f>
        <v>-20.560217560217563</v>
      </c>
      <c r="R28">
        <f>INDEX(LINEST(Table2x4167177187[CU8],Table2x4167177187[RCR]^{1,2,3}),1,3)</f>
        <v>-23.566433566433599</v>
      </c>
      <c r="S28">
        <f>INDEX(LINEST(Table2x4167177187[CU9],Table2x4167177187[RCR]^{1,2,3}),1,3)</f>
        <v>-15.762626262626268</v>
      </c>
      <c r="T28">
        <f>INDEX(LINEST(Table2x4167177187[CU10],Table2x4167177187[RCR]^{1,2,3}),1,3)</f>
        <v>-18.496891996892007</v>
      </c>
      <c r="U28">
        <f>INDEX(LINEST(Table2x4167177187[CU11],Table2x4167177187[RCR]^{1,2,3}),1,3)</f>
        <v>-21.402874902874903</v>
      </c>
      <c r="V28">
        <f>INDEX(LINEST(Table2x4167177187[CU12],Table2x4167177187[RCR]^{1,2,3}),1,3)</f>
        <v>-15.325563325563332</v>
      </c>
      <c r="W28">
        <f>INDEX(LINEST(Table2x4167177187[CU13],Table2x4167177187[RCR]^{1,2,3}),1,3)</f>
        <v>-17.789432789432798</v>
      </c>
      <c r="X28">
        <f>INDEX(LINEST(Table2x4167177187[CU14],Table2x4167177187[RCR]^{1,2,3}),1,3)</f>
        <v>-19.707459207459234</v>
      </c>
      <c r="Z28" t="s">
        <v>220</v>
      </c>
      <c r="AA28">
        <f>INDEX(LINEST(Table2x2174184194[CU],Table2x2174184194[RCR]^{1,2,3}),1,3)</f>
        <v>-16.845376845376851</v>
      </c>
      <c r="AB28">
        <f>INDEX(LINEST(Table2x2174184194[CU1],Table2x2174184194[RCR]^{1,2,3}),1,3)</f>
        <v>-21.670163170163164</v>
      </c>
      <c r="AC28">
        <f>INDEX(LINEST(Table2x2174184194[CU2],Table2x2174184194[RCR]^{1,2,3}),1,3)</f>
        <v>-25.29370629370629</v>
      </c>
      <c r="AD28">
        <f>INDEX(LINEST(Table2x2174184194[CU3],Table2x2174184194[RCR]^{1,2,3}),1,3)</f>
        <v>-16.587801087801079</v>
      </c>
      <c r="AE28">
        <f>INDEX(LINEST(Table2x2174184194[CU4],Table2x2174184194[RCR]^{1,2,3}),1,3)</f>
        <v>-20.419580419580452</v>
      </c>
      <c r="AF28">
        <f>INDEX(LINEST(Table2x2174184194[CU5],Table2x2174184194[RCR]^{1,2,3}),1,3)</f>
        <v>-23.822066822066816</v>
      </c>
      <c r="AG28">
        <f>INDEX(LINEST(Table2x2174184194[CU6],Table2x2174184194[RCR]^{1,2,3}),1,3)</f>
        <v>-15.50893550893551</v>
      </c>
      <c r="AH28">
        <f>INDEX(LINEST(Table2x2174184194[CU7],Table2x2174184194[RCR]^{1,2,3}),1,3)</f>
        <v>-18.754467754467765</v>
      </c>
      <c r="AI28">
        <f>INDEX(LINEST(Table2x2174184194[CU8],Table2x2174184194[RCR]^{1,2,3}),1,3)</f>
        <v>-21.745920745920746</v>
      </c>
      <c r="AJ28">
        <f>INDEX(LINEST(Table2x2174184194[CU9],Table2x2174184194[RCR]^{1,2,3}),1,3)</f>
        <v>-14.825563325563341</v>
      </c>
      <c r="AK28">
        <f>INDEX(LINEST(Table2x2174184194[CU10],Table2x2174184194[RCR]^{1,2,3}),1,3)</f>
        <v>-17.348484848484862</v>
      </c>
      <c r="AL28">
        <f>INDEX(LINEST(Table2x2174184194[CU11],Table2x2174184194[RCR]^{1,2,3}),1,3)</f>
        <v>-19.761072261072254</v>
      </c>
      <c r="AM28">
        <f>INDEX(LINEST(Table2x2174184194[CU12],Table2x2174184194[RCR]^{1,2,3}),1,3)</f>
        <v>-13.911033411033422</v>
      </c>
      <c r="AN28">
        <f>INDEX(LINEST(Table2x2174184194[CU13],Table2x2174184194[RCR]^{1,2,3}),1,3)</f>
        <v>-16.374902874902883</v>
      </c>
      <c r="AO28">
        <f>INDEX(LINEST(Table2x2174184194[CU14],Table2x2174184194[RCR]^{1,2,3}),1,3)</f>
        <v>-18.764568764568775</v>
      </c>
      <c r="AQ28" t="s">
        <v>220</v>
      </c>
      <c r="AR28">
        <f>INDEX(LINEST(Table1x4176186196[CU],Table1x4176186196[RCR]^{1,2,3}),1,3)</f>
        <v>-16.911810411810404</v>
      </c>
      <c r="AS28">
        <f>INDEX(LINEST(Table1x4176186196[CU1],Table1x4176186196[RCR]^{1,2,3}),1,3)</f>
        <v>-20.955322455322445</v>
      </c>
      <c r="AT28">
        <f>INDEX(LINEST(Table1x4176186196[CU2],Table1x4176186196[RCR]^{1,2,3}),1,3)</f>
        <v>-24.470862470862471</v>
      </c>
      <c r="AU28">
        <f>INDEX(LINEST(Table1x4176186196[CU3],Table1x4176186196[RCR]^{1,2,3}),1,3)</f>
        <v>-15.764957264957275</v>
      </c>
      <c r="AV28">
        <f>INDEX(LINEST(Table1x4176186196[CU4],Table1x4176186196[RCR]^{1,2,3}),1,3)</f>
        <v>-20.198523698523697</v>
      </c>
      <c r="AW28">
        <f>INDEX(LINEST(Table1x4176186196[CU5],Table1x4176186196[RCR]^{1,2,3}),1,3)</f>
        <v>-23.518259518259519</v>
      </c>
      <c r="AX28">
        <f>INDEX(LINEST(Table1x4176186196[CU6],Table1x4176186196[RCR]^{1,2,3}),1,3)</f>
        <v>-15.387334887334902</v>
      </c>
      <c r="AY28">
        <f>INDEX(LINEST(Table1x4176186196[CU7],Table1x4176186196[RCR]^{1,2,3}),1,3)</f>
        <v>-18.548951048951043</v>
      </c>
      <c r="AZ28">
        <f>INDEX(LINEST(Table1x4176186196[CU8],Table1x4176186196[RCR]^{1,2,3}),1,3)</f>
        <v>-21.471250971250992</v>
      </c>
      <c r="BA28">
        <f>INDEX(LINEST(Table1x4176186196[CU9],Table1x4176186196[RCR]^{1,2,3}),1,3)</f>
        <v>-14.079642579642584</v>
      </c>
      <c r="BB28">
        <f>INDEX(LINEST(Table1x4176186196[CU10],Table1x4176186196[RCR]^{1,2,3}),1,3)</f>
        <v>-17.189199689199704</v>
      </c>
      <c r="BC28">
        <f>INDEX(LINEST(Table1x4176186196[CU11],Table1x4176186196[RCR]^{1,2,3}),1,3)</f>
        <v>-19.600621600621601</v>
      </c>
      <c r="BD28">
        <f>INDEX(LINEST(Table1x4176186196[CU12],Table1x4176186196[RCR]^{1,2,3}),1,3)</f>
        <v>-13.621600621600624</v>
      </c>
      <c r="BE28">
        <f>INDEX(LINEST(Table1x4176186196[CU13],Table1x4176186196[RCR]^{1,2,3}),1,3)</f>
        <v>-16.029526029526039</v>
      </c>
      <c r="BF28">
        <f>INDEX(LINEST(Table1x4176186196[CU14],Table1x4176186196[RCR]^{1,2,3}),1,3)</f>
        <v>-17.943278943278969</v>
      </c>
    </row>
    <row r="29" spans="1:63" x14ac:dyDescent="0.25">
      <c r="C29" s="3"/>
      <c r="H29" s="5"/>
      <c r="I29" t="s">
        <v>221</v>
      </c>
      <c r="J29">
        <f>INDEX(LINEST(Table2x4167177187[CU],Table2x4167177187[RCR]^{1,2,3}),1,4)</f>
        <v>118.79720279720277</v>
      </c>
      <c r="K29">
        <f>INDEX(LINEST(Table2x4167177187[CU1],Table2x4167177187[RCR]^{1,2,3}),1,4)</f>
        <v>118.67132867132865</v>
      </c>
      <c r="L29">
        <f>INDEX(LINEST(Table2x4167177187[CU2],Table2x4167177187[RCR]^{1,2,3}),1,4)</f>
        <v>118.04895104895105</v>
      </c>
      <c r="M29">
        <f>INDEX(LINEST(Table2x4167177187[CU3],Table2x4167177187[RCR]^{1,2,3}),1,4)</f>
        <v>115.90909090909089</v>
      </c>
      <c r="N29">
        <f>INDEX(LINEST(Table2x4167177187[CU4],Table2x4167177187[RCR]^{1,2,3}),1,4)</f>
        <v>115.72027972027969</v>
      </c>
      <c r="O29">
        <f>INDEX(LINEST(Table2x4167177187[CU5],Table2x4167177187[RCR]^{1,2,3}),1,4)</f>
        <v>115.40559440559437</v>
      </c>
      <c r="P29">
        <f>INDEX(LINEST(Table2x4167177187[CU6],Table2x4167177187[RCR]^{1,2,3}),1,4)</f>
        <v>111.13286713286712</v>
      </c>
      <c r="Q29">
        <f>INDEX(LINEST(Table2x4167177187[CU7],Table2x4167177187[RCR]^{1,2,3}),1,4)</f>
        <v>110.78321678321677</v>
      </c>
      <c r="R29">
        <f>INDEX(LINEST(Table2x4167177187[CU8],Table2x4167177187[RCR]^{1,2,3}),1,4)</f>
        <v>110.56643356643357</v>
      </c>
      <c r="S29">
        <f>INDEX(LINEST(Table2x4167177187[CU9],Table2x4167177187[RCR]^{1,2,3}),1,4)</f>
        <v>106.02097902097898</v>
      </c>
      <c r="T29">
        <f>INDEX(LINEST(Table2x4167177187[CU10],Table2x4167177187[RCR]^{1,2,3}),1,4)</f>
        <v>105.90209790209788</v>
      </c>
      <c r="U29">
        <f>INDEX(LINEST(Table2x4167177187[CU11],Table2x4167177187[RCR]^{1,2,3}),1,4)</f>
        <v>105.59440559440557</v>
      </c>
      <c r="V29">
        <f>INDEX(LINEST(Table2x4167177187[CU12],Table2x4167177187[RCR]^{1,2,3}),1,4)</f>
        <v>101.95104895104893</v>
      </c>
      <c r="W29">
        <f>INDEX(LINEST(Table2x4167177187[CU13],Table2x4167177187[RCR]^{1,2,3}),1,4)</f>
        <v>101.94405594405592</v>
      </c>
      <c r="X29">
        <f>INDEX(LINEST(Table2x4167177187[CU14],Table2x4167177187[RCR]^{1,2,3}),1,4)</f>
        <v>101.84615384615384</v>
      </c>
      <c r="Z29" t="s">
        <v>221</v>
      </c>
      <c r="AA29">
        <f>INDEX(LINEST(Table2x2174184194[CU],Table2x2174184194[RCR]^{1,2,3}),1,4)</f>
        <v>118.81818181818177</v>
      </c>
      <c r="AB29">
        <f>INDEX(LINEST(Table2x2174184194[CU1],Table2x2174184194[RCR]^{1,2,3}),1,4)</f>
        <v>118.78321678321676</v>
      </c>
      <c r="AC29">
        <f>INDEX(LINEST(Table2x2174184194[CU2],Table2x2174184194[RCR]^{1,2,3}),1,4)</f>
        <v>118.38461538461536</v>
      </c>
      <c r="AD29">
        <f>INDEX(LINEST(Table2x2174184194[CU3],Table2x2174184194[RCR]^{1,2,3}),1,4)</f>
        <v>116.11188811188808</v>
      </c>
      <c r="AE29">
        <f>INDEX(LINEST(Table2x2174184194[CU4],Table2x2174184194[RCR]^{1,2,3}),1,4)</f>
        <v>115.83916083916085</v>
      </c>
      <c r="AF29">
        <f>INDEX(LINEST(Table2x2174184194[CU5],Table2x2174184194[RCR]^{1,2,3}),1,4)</f>
        <v>115.25874125874121</v>
      </c>
      <c r="AG29">
        <f>INDEX(LINEST(Table2x2174184194[CU6],Table2x2174184194[RCR]^{1,2,3}),1,4)</f>
        <v>111.01398601398598</v>
      </c>
      <c r="AH29">
        <f>INDEX(LINEST(Table2x2174184194[CU7],Table2x2174184194[RCR]^{1,2,3}),1,4)</f>
        <v>110.60839160839161</v>
      </c>
      <c r="AI29">
        <f>INDEX(LINEST(Table2x2174184194[CU8],Table2x2174184194[RCR]^{1,2,3}),1,4)</f>
        <v>110.30069930069928</v>
      </c>
      <c r="AJ29">
        <f>INDEX(LINEST(Table2x2174184194[CU9],Table2x2174184194[RCR]^{1,2,3}),1,4)</f>
        <v>106.23776223776224</v>
      </c>
      <c r="AK29">
        <f>INDEX(LINEST(Table2x2174184194[CU10],Table2x2174184194[RCR]^{1,2,3}),1,4)</f>
        <v>105.97902097902099</v>
      </c>
      <c r="AL29">
        <f>INDEX(LINEST(Table2x2174184194[CU11],Table2x2174184194[RCR]^{1,2,3}),1,4)</f>
        <v>105.92307692307689</v>
      </c>
      <c r="AM29">
        <f>INDEX(LINEST(Table2x2174184194[CU12],Table2x2174184194[RCR]^{1,2,3}),1,4)</f>
        <v>101.92307692307695</v>
      </c>
      <c r="AN29">
        <f>INDEX(LINEST(Table2x2174184194[CU13],Table2x2174184194[RCR]^{1,2,3}),1,4)</f>
        <v>101.91608391608392</v>
      </c>
      <c r="AO29">
        <f>INDEX(LINEST(Table2x2174184194[CU14],Table2x2174184194[RCR]^{1,2,3}),1,4)</f>
        <v>102.01398601398601</v>
      </c>
      <c r="AQ29" t="s">
        <v>221</v>
      </c>
      <c r="AR29">
        <f>INDEX(LINEST(Table1x4176186196[CU],Table1x4176186196[RCR]^{1,2,3}),1,4)</f>
        <v>119.11888111888111</v>
      </c>
      <c r="AS29">
        <f>INDEX(LINEST(Table1x4176186196[CU1],Table1x4176186196[RCR]^{1,2,3}),1,4)</f>
        <v>118.62937062937058</v>
      </c>
      <c r="AT29">
        <f>INDEX(LINEST(Table1x4176186196[CU2],Table1x4176186196[RCR]^{1,2,3}),1,4)</f>
        <v>118.47552447552444</v>
      </c>
      <c r="AU29">
        <f>INDEX(LINEST(Table1x4176186196[CU3],Table1x4176186196[RCR]^{1,2,3}),1,4)</f>
        <v>116.2027972027972</v>
      </c>
      <c r="AV29">
        <f>INDEX(LINEST(Table1x4176186196[CU4],Table1x4176186196[RCR]^{1,2,3}),1,4)</f>
        <v>116.02097902097901</v>
      </c>
      <c r="AW29">
        <f>INDEX(LINEST(Table1x4176186196[CU5],Table1x4176186196[RCR]^{1,2,3}),1,4)</f>
        <v>115.58041958041954</v>
      </c>
      <c r="AX29">
        <f>INDEX(LINEST(Table1x4176186196[CU6],Table1x4176186196[RCR]^{1,2,3}),1,4)</f>
        <v>111.11888111888115</v>
      </c>
      <c r="AY29">
        <f>INDEX(LINEST(Table1x4176186196[CU7],Table1x4176186196[RCR]^{1,2,3}),1,4)</f>
        <v>110.97202797202793</v>
      </c>
      <c r="AZ29">
        <f>INDEX(LINEST(Table1x4176186196[CU8],Table1x4176186196[RCR]^{1,2,3}),1,4)</f>
        <v>110.69230769230771</v>
      </c>
      <c r="BA29">
        <f>INDEX(LINEST(Table1x4176186196[CU9],Table1x4176186196[RCR]^{1,2,3}),1,4)</f>
        <v>106.07692307692307</v>
      </c>
      <c r="BB29">
        <f>INDEX(LINEST(Table1x4176186196[CU10],Table1x4176186196[RCR]^{1,2,3}),1,4)</f>
        <v>106.17482517482517</v>
      </c>
      <c r="BC29">
        <f>INDEX(LINEST(Table1x4176186196[CU11],Table1x4176186196[RCR]^{1,2,3}),1,4)</f>
        <v>105.82517482517478</v>
      </c>
      <c r="BD29">
        <f>INDEX(LINEST(Table1x4176186196[CU12],Table1x4176186196[RCR]^{1,2,3}),1,4)</f>
        <v>102.22377622377621</v>
      </c>
      <c r="BE29">
        <f>INDEX(LINEST(Table1x4176186196[CU13],Table1x4176186196[RCR]^{1,2,3}),1,4)</f>
        <v>102.25174825174827</v>
      </c>
      <c r="BF29">
        <f>INDEX(LINEST(Table1x4176186196[CU14],Table1x4176186196[RCR]^{1,2,3}),1,4)</f>
        <v>102.11188811188812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1.34</v>
      </c>
      <c r="F44" s="12">
        <f>E44*(C14-C15)</f>
        <v>-3.35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1.24</v>
      </c>
      <c r="F45" s="12">
        <f>E45*(C14-C15)</f>
        <v>-3.1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#DIV/0!</v>
      </c>
    </row>
    <row r="65" spans="8:22" x14ac:dyDescent="0.25">
      <c r="H65" t="s">
        <v>17</v>
      </c>
      <c r="I65">
        <v>80</v>
      </c>
      <c r="J65">
        <v>10</v>
      </c>
      <c r="K65">
        <v>14</v>
      </c>
      <c r="L65" t="e">
        <f>AT25</f>
        <v>#DIV/0!</v>
      </c>
    </row>
    <row r="66" spans="8:22" x14ac:dyDescent="0.25">
      <c r="H66" t="s">
        <v>18</v>
      </c>
      <c r="I66">
        <v>70</v>
      </c>
      <c r="J66">
        <v>50</v>
      </c>
      <c r="K66">
        <v>14</v>
      </c>
      <c r="L66" t="e">
        <f>AU25</f>
        <v>#DIV/0!</v>
      </c>
    </row>
    <row r="67" spans="8:22" x14ac:dyDescent="0.25">
      <c r="H67" t="s">
        <v>19</v>
      </c>
      <c r="I67">
        <v>70</v>
      </c>
      <c r="J67">
        <v>30</v>
      </c>
      <c r="K67">
        <v>14</v>
      </c>
      <c r="L67" t="e">
        <f>AV25</f>
        <v>#DIV/0!</v>
      </c>
    </row>
    <row r="68" spans="8:22" x14ac:dyDescent="0.25">
      <c r="H68" t="s">
        <v>20</v>
      </c>
      <c r="I68">
        <v>70</v>
      </c>
      <c r="J68">
        <v>10</v>
      </c>
      <c r="K68">
        <v>14</v>
      </c>
      <c r="L68" t="e">
        <f>AW25</f>
        <v>#DIV/0!</v>
      </c>
    </row>
    <row r="69" spans="8:22" x14ac:dyDescent="0.25">
      <c r="H69" t="s">
        <v>21</v>
      </c>
      <c r="I69">
        <v>50</v>
      </c>
      <c r="J69">
        <v>50</v>
      </c>
      <c r="K69">
        <v>14</v>
      </c>
      <c r="L69" t="e">
        <f>AX25</f>
        <v>#DIV/0!</v>
      </c>
    </row>
    <row r="70" spans="8:22" x14ac:dyDescent="0.25">
      <c r="H70" t="s">
        <v>22</v>
      </c>
      <c r="I70">
        <v>50</v>
      </c>
      <c r="J70">
        <v>30</v>
      </c>
      <c r="K70">
        <v>14</v>
      </c>
      <c r="L70" t="e">
        <f>AY25</f>
        <v>#DIV/0!</v>
      </c>
    </row>
    <row r="71" spans="8:22" x14ac:dyDescent="0.25">
      <c r="H71" t="s">
        <v>23</v>
      </c>
      <c r="I71">
        <v>50</v>
      </c>
      <c r="J71">
        <v>10</v>
      </c>
      <c r="K71">
        <v>14</v>
      </c>
      <c r="L71" t="e">
        <f>AZ25</f>
        <v>#DIV/0!</v>
      </c>
    </row>
    <row r="72" spans="8:22" x14ac:dyDescent="0.25">
      <c r="H72" t="s">
        <v>24</v>
      </c>
      <c r="I72">
        <v>30</v>
      </c>
      <c r="J72">
        <v>50</v>
      </c>
      <c r="K72">
        <v>14</v>
      </c>
      <c r="L72" t="e">
        <f>BA25</f>
        <v>#DIV/0!</v>
      </c>
    </row>
    <row r="73" spans="8:22" x14ac:dyDescent="0.25">
      <c r="H73" t="s">
        <v>26</v>
      </c>
      <c r="I73">
        <v>30</v>
      </c>
      <c r="J73">
        <v>30</v>
      </c>
      <c r="K73">
        <v>14</v>
      </c>
      <c r="L73" t="e">
        <f>BB25</f>
        <v>#DIV/0!</v>
      </c>
    </row>
    <row r="74" spans="8:22" x14ac:dyDescent="0.25">
      <c r="H74" t="s">
        <v>25</v>
      </c>
      <c r="I74">
        <v>30</v>
      </c>
      <c r="J74">
        <v>10</v>
      </c>
      <c r="K74">
        <v>14</v>
      </c>
      <c r="L74" t="e">
        <f>BC25</f>
        <v>#DIV/0!</v>
      </c>
    </row>
    <row r="75" spans="8:22" x14ac:dyDescent="0.25">
      <c r="H75" t="s">
        <v>27</v>
      </c>
      <c r="I75">
        <v>10</v>
      </c>
      <c r="J75">
        <v>50</v>
      </c>
      <c r="K75">
        <v>14</v>
      </c>
      <c r="L75" t="e">
        <f>BD25</f>
        <v>#DIV/0!</v>
      </c>
    </row>
    <row r="76" spans="8:22" x14ac:dyDescent="0.25">
      <c r="H76" t="s">
        <v>28</v>
      </c>
      <c r="I76">
        <v>10</v>
      </c>
      <c r="J76">
        <v>30</v>
      </c>
      <c r="K76">
        <v>14</v>
      </c>
      <c r="L76" t="e">
        <f>BE25</f>
        <v>#DIV/0!</v>
      </c>
    </row>
    <row r="77" spans="8:22" x14ac:dyDescent="0.25">
      <c r="H77" t="s">
        <v>29</v>
      </c>
      <c r="I77">
        <v>10</v>
      </c>
      <c r="J77">
        <v>10</v>
      </c>
      <c r="K77">
        <v>14</v>
      </c>
      <c r="L77" t="e">
        <f>BF25</f>
        <v>#DIV/0!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143</v>
      </c>
      <c r="S80" t="s">
        <v>135</v>
      </c>
      <c r="T80" t="s">
        <v>136</v>
      </c>
      <c r="V80" t="s">
        <v>138</v>
      </c>
    </row>
    <row r="81" spans="9:22" x14ac:dyDescent="0.25">
      <c r="I81" s="16" t="s">
        <v>1224</v>
      </c>
      <c r="J81" s="17">
        <v>2730</v>
      </c>
      <c r="K81" s="17">
        <v>22</v>
      </c>
      <c r="N81">
        <v>80</v>
      </c>
      <c r="O81">
        <v>50</v>
      </c>
      <c r="P81">
        <v>20</v>
      </c>
      <c r="R81">
        <v>24</v>
      </c>
      <c r="S81">
        <v>1.26</v>
      </c>
      <c r="T81">
        <v>1.28</v>
      </c>
      <c r="V81">
        <v>0</v>
      </c>
    </row>
    <row r="82" spans="9:22" x14ac:dyDescent="0.25">
      <c r="I82" s="16" t="s">
        <v>1225</v>
      </c>
      <c r="J82" s="17">
        <v>4078</v>
      </c>
      <c r="K82" s="17">
        <v>40</v>
      </c>
      <c r="N82">
        <v>70</v>
      </c>
      <c r="O82">
        <v>30</v>
      </c>
      <c r="R82">
        <v>22</v>
      </c>
      <c r="S82" s="11">
        <v>1.24</v>
      </c>
      <c r="T82">
        <v>1.3</v>
      </c>
      <c r="V82">
        <v>90</v>
      </c>
    </row>
    <row r="83" spans="9:22" x14ac:dyDescent="0.25">
      <c r="I83" s="16" t="s">
        <v>1226</v>
      </c>
      <c r="J83" s="17">
        <v>4016</v>
      </c>
      <c r="K83" s="17">
        <v>32</v>
      </c>
      <c r="N83">
        <v>50</v>
      </c>
      <c r="O83">
        <v>10</v>
      </c>
      <c r="R83">
        <v>14</v>
      </c>
      <c r="S83">
        <v>1.24</v>
      </c>
      <c r="T83">
        <v>1.34</v>
      </c>
    </row>
    <row r="84" spans="9:22" x14ac:dyDescent="0.25">
      <c r="I84" s="16" t="s">
        <v>1227</v>
      </c>
      <c r="J84" s="17">
        <v>4652</v>
      </c>
      <c r="K84" s="17">
        <v>47</v>
      </c>
      <c r="N84">
        <v>30</v>
      </c>
    </row>
    <row r="85" spans="9:22" x14ac:dyDescent="0.25">
      <c r="I85" s="16" t="s">
        <v>1228</v>
      </c>
      <c r="J85" s="17">
        <v>4508</v>
      </c>
      <c r="K85" s="17">
        <v>35</v>
      </c>
      <c r="N85">
        <v>10</v>
      </c>
    </row>
    <row r="86" spans="9:22" x14ac:dyDescent="0.25">
      <c r="I86" s="16" t="s">
        <v>1229</v>
      </c>
      <c r="J86" s="17">
        <v>6567</v>
      </c>
      <c r="K86" s="17">
        <v>68</v>
      </c>
    </row>
    <row r="87" spans="9:22" x14ac:dyDescent="0.25">
      <c r="I87" s="16" t="s">
        <v>1230</v>
      </c>
      <c r="J87" s="17">
        <v>4070</v>
      </c>
      <c r="K87" s="17">
        <v>40</v>
      </c>
    </row>
    <row r="88" spans="9:22" x14ac:dyDescent="0.25">
      <c r="I88" s="16" t="s">
        <v>1231</v>
      </c>
      <c r="J88" s="17">
        <v>2754</v>
      </c>
      <c r="K88" s="17">
        <v>22</v>
      </c>
    </row>
    <row r="89" spans="9:22" x14ac:dyDescent="0.25">
      <c r="I89" s="16" t="s">
        <v>1237</v>
      </c>
      <c r="J89" s="17">
        <v>4134</v>
      </c>
      <c r="K89" s="17">
        <v>40</v>
      </c>
    </row>
    <row r="90" spans="9:22" x14ac:dyDescent="0.25">
      <c r="I90" s="16" t="s">
        <v>1236</v>
      </c>
      <c r="J90" s="17">
        <v>4079</v>
      </c>
      <c r="K90" s="17">
        <v>32</v>
      </c>
    </row>
    <row r="91" spans="9:22" x14ac:dyDescent="0.25">
      <c r="I91" s="16" t="s">
        <v>1235</v>
      </c>
      <c r="J91" s="17">
        <v>4652</v>
      </c>
      <c r="K91" s="17">
        <v>47</v>
      </c>
    </row>
    <row r="92" spans="9:22" x14ac:dyDescent="0.25">
      <c r="I92" s="16" t="s">
        <v>1234</v>
      </c>
      <c r="J92" s="17">
        <v>4590</v>
      </c>
      <c r="K92" s="17">
        <v>35</v>
      </c>
    </row>
    <row r="93" spans="9:22" x14ac:dyDescent="0.25">
      <c r="I93" s="16" t="s">
        <v>1233</v>
      </c>
      <c r="J93" s="17">
        <v>6645</v>
      </c>
      <c r="K93" s="17">
        <v>68</v>
      </c>
    </row>
    <row r="94" spans="9:22" x14ac:dyDescent="0.25">
      <c r="I94" s="16" t="s">
        <v>1232</v>
      </c>
      <c r="J94" s="17">
        <v>4149</v>
      </c>
      <c r="K94" s="17">
        <v>40</v>
      </c>
    </row>
    <row r="95" spans="9:22" x14ac:dyDescent="0.25">
      <c r="I95" s="16" t="s">
        <v>1238</v>
      </c>
      <c r="J95" s="17">
        <v>2769</v>
      </c>
      <c r="K95" s="17">
        <v>22</v>
      </c>
    </row>
    <row r="96" spans="9:22" x14ac:dyDescent="0.25">
      <c r="I96" s="16" t="s">
        <v>1244</v>
      </c>
      <c r="J96" s="17">
        <v>4134</v>
      </c>
      <c r="K96" s="17">
        <v>40</v>
      </c>
    </row>
    <row r="97" spans="9:11" x14ac:dyDescent="0.25">
      <c r="I97" s="16" t="s">
        <v>1243</v>
      </c>
      <c r="J97" s="17">
        <v>4109</v>
      </c>
      <c r="K97" s="17">
        <v>32</v>
      </c>
    </row>
    <row r="98" spans="9:11" x14ac:dyDescent="0.25">
      <c r="I98" s="16" t="s">
        <v>1242</v>
      </c>
      <c r="J98" s="17">
        <v>4652</v>
      </c>
      <c r="K98" s="17">
        <v>47</v>
      </c>
    </row>
    <row r="99" spans="9:11" x14ac:dyDescent="0.25">
      <c r="I99" s="16" t="s">
        <v>1241</v>
      </c>
      <c r="J99" s="17">
        <v>4672</v>
      </c>
      <c r="K99" s="17">
        <v>35</v>
      </c>
    </row>
    <row r="100" spans="9:11" x14ac:dyDescent="0.25">
      <c r="I100" s="16" t="s">
        <v>1240</v>
      </c>
      <c r="J100" s="17">
        <v>6645</v>
      </c>
      <c r="K100" s="17">
        <v>68</v>
      </c>
    </row>
    <row r="101" spans="9:11" x14ac:dyDescent="0.25">
      <c r="I101" s="16" t="s">
        <v>1239</v>
      </c>
      <c r="J101" s="17">
        <v>4149</v>
      </c>
      <c r="K101" s="17">
        <v>40</v>
      </c>
    </row>
    <row r="102" spans="9:11" x14ac:dyDescent="0.25">
      <c r="I102" s="16" t="s">
        <v>1245</v>
      </c>
      <c r="J102" s="17">
        <v>2799</v>
      </c>
      <c r="K102" s="17">
        <v>22</v>
      </c>
    </row>
    <row r="103" spans="9:11" x14ac:dyDescent="0.25">
      <c r="I103" s="16" t="s">
        <v>1246</v>
      </c>
      <c r="J103" s="17">
        <v>4480</v>
      </c>
      <c r="K103" s="17">
        <v>40</v>
      </c>
    </row>
    <row r="104" spans="9:11" x14ac:dyDescent="0.25">
      <c r="I104" s="16" t="s">
        <v>1247</v>
      </c>
      <c r="J104" s="17">
        <v>4170</v>
      </c>
      <c r="K104" s="17">
        <v>32</v>
      </c>
    </row>
    <row r="105" spans="9:11" x14ac:dyDescent="0.25">
      <c r="I105" s="16" t="s">
        <v>1248</v>
      </c>
      <c r="J105" s="17">
        <v>5062</v>
      </c>
      <c r="K105" s="17">
        <v>47</v>
      </c>
    </row>
    <row r="106" spans="9:11" x14ac:dyDescent="0.25">
      <c r="I106" s="16" t="s">
        <v>1249</v>
      </c>
      <c r="J106" s="17">
        <v>4836</v>
      </c>
      <c r="K106" s="17">
        <v>35</v>
      </c>
    </row>
    <row r="107" spans="9:11" x14ac:dyDescent="0.25">
      <c r="I107" s="16" t="s">
        <v>1250</v>
      </c>
      <c r="J107" s="17">
        <v>7325</v>
      </c>
      <c r="K107" s="17">
        <v>68</v>
      </c>
    </row>
    <row r="108" spans="9:11" x14ac:dyDescent="0.25">
      <c r="I108" s="16" t="s">
        <v>1251</v>
      </c>
      <c r="J108" s="17">
        <v>4600</v>
      </c>
      <c r="K108" s="17">
        <v>40</v>
      </c>
    </row>
  </sheetData>
  <sheetProtection algorithmName="SHA-512" hashValue="O5G08cj0JGZMW32iLELuFHmtxENtQL86Fc0ERM6JaCQvzofdhYq3A0YRW3CeE2cQN3PuE34zbjVSwPMPNbZFYQ==" saltValue="jNToPBiikbbVnJCfJvOrqg==" spinCount="100000" sheet="1" objects="1" scenarios="1" selectLockedCells="1"/>
  <mergeCells count="4">
    <mergeCell ref="BI5:BK5"/>
    <mergeCell ref="BI6:BK6"/>
    <mergeCell ref="BI7:BK7"/>
    <mergeCell ref="A52:D55"/>
  </mergeCells>
  <conditionalFormatting sqref="C44">
    <cfRule type="cellIs" dxfId="45" priority="2" operator="greaterThan">
      <formula>$F$44</formula>
    </cfRule>
  </conditionalFormatting>
  <conditionalFormatting sqref="C45">
    <cfRule type="cellIs" dxfId="44" priority="1" operator="greaterThan">
      <formula>$F$45</formula>
    </cfRule>
  </conditionalFormatting>
  <dataValidations count="4">
    <dataValidation type="list" allowBlank="1" showInputMessage="1" showErrorMessage="1" sqref="C21" xr:uid="{EF0D4429-E656-4A3F-81ED-8E83211CFDDD}">
      <formula1>$I$81:$I$108</formula1>
    </dataValidation>
    <dataValidation type="list" allowBlank="1" showInputMessage="1" showErrorMessage="1" sqref="C17" xr:uid="{B9525D2A-CDCD-4A2D-9D72-C4FE6E00F29A}">
      <formula1>$N$81:$N$85</formula1>
    </dataValidation>
    <dataValidation type="list" allowBlank="1" showInputMessage="1" showErrorMessage="1" sqref="C18" xr:uid="{3B1F6602-A3F7-47EE-84E3-95E7725C012D}">
      <formula1>$O$81:$O$83</formula1>
    </dataValidation>
    <dataValidation type="list" allowBlank="1" showInputMessage="1" showErrorMessage="1" sqref="C43" xr:uid="{563223EF-B456-42E9-8A26-4C8662A0367C}">
      <formula1>$V$81:$V$82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F4531-EB06-49CD-8CEA-76EA9D2FD0D3}">
  <sheetPr>
    <pageSetUpPr fitToPage="1"/>
  </sheetPr>
  <dimension ref="A5:BK116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140625" customWidth="1"/>
    <col min="3" max="3" width="25.28515625" customWidth="1"/>
    <col min="4" max="4" width="5.85546875" bestFit="1" customWidth="1"/>
    <col min="5" max="8" width="9.140625" hidden="1" customWidth="1"/>
    <col min="9" max="9" width="20.425781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1326</v>
      </c>
      <c r="BH7" s="5" t="s">
        <v>1345</v>
      </c>
      <c r="BI7" s="37"/>
      <c r="BJ7" s="37"/>
      <c r="BK7" s="37"/>
    </row>
    <row r="9" spans="1:63" x14ac:dyDescent="0.25">
      <c r="I9" s="6" t="s">
        <v>117</v>
      </c>
      <c r="Z9" s="2" t="s">
        <v>114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Z13">
        <v>0</v>
      </c>
      <c r="AA13">
        <v>118</v>
      </c>
      <c r="AB13">
        <v>118</v>
      </c>
      <c r="AC13">
        <v>118</v>
      </c>
      <c r="AD13">
        <v>115</v>
      </c>
      <c r="AE13">
        <v>115</v>
      </c>
      <c r="AF13">
        <v>115</v>
      </c>
      <c r="AG13">
        <v>109</v>
      </c>
      <c r="AH13">
        <v>109</v>
      </c>
      <c r="AI13">
        <v>109</v>
      </c>
      <c r="AJ13">
        <v>104</v>
      </c>
      <c r="AK13">
        <v>104</v>
      </c>
      <c r="AL13">
        <v>104</v>
      </c>
      <c r="AM13">
        <v>99</v>
      </c>
      <c r="AN13">
        <v>99</v>
      </c>
      <c r="AO13">
        <v>99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Z14">
        <v>1</v>
      </c>
      <c r="AA14">
        <v>102</v>
      </c>
      <c r="AB14">
        <v>97</v>
      </c>
      <c r="AC14">
        <v>93</v>
      </c>
      <c r="AD14">
        <v>99</v>
      </c>
      <c r="AE14">
        <v>95</v>
      </c>
      <c r="AF14">
        <v>91</v>
      </c>
      <c r="AG14">
        <v>95</v>
      </c>
      <c r="AH14">
        <v>91</v>
      </c>
      <c r="AI14">
        <v>88</v>
      </c>
      <c r="AJ14">
        <v>90</v>
      </c>
      <c r="AK14">
        <v>87</v>
      </c>
      <c r="AL14">
        <v>85</v>
      </c>
      <c r="AM14">
        <v>86</v>
      </c>
      <c r="AN14">
        <v>84</v>
      </c>
      <c r="AO14">
        <v>82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Z15">
        <v>2</v>
      </c>
      <c r="AA15">
        <v>89</v>
      </c>
      <c r="AB15">
        <v>82</v>
      </c>
      <c r="AC15">
        <v>76</v>
      </c>
      <c r="AD15">
        <v>86</v>
      </c>
      <c r="AE15">
        <v>80</v>
      </c>
      <c r="AF15">
        <v>74</v>
      </c>
      <c r="AG15">
        <v>82</v>
      </c>
      <c r="AH15">
        <v>77</v>
      </c>
      <c r="AI15">
        <v>72</v>
      </c>
      <c r="AJ15">
        <v>79</v>
      </c>
      <c r="AK15">
        <v>74</v>
      </c>
      <c r="AL15">
        <v>70</v>
      </c>
      <c r="AM15">
        <v>75</v>
      </c>
      <c r="AN15">
        <v>71</v>
      </c>
      <c r="AO15">
        <v>68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Z16">
        <v>3</v>
      </c>
      <c r="AA16">
        <v>78</v>
      </c>
      <c r="AB16">
        <v>69</v>
      </c>
      <c r="AC16">
        <v>63</v>
      </c>
      <c r="AD16">
        <v>76</v>
      </c>
      <c r="AE16">
        <v>68</v>
      </c>
      <c r="AF16">
        <v>62</v>
      </c>
      <c r="AG16">
        <v>72</v>
      </c>
      <c r="AH16">
        <v>66</v>
      </c>
      <c r="AI16">
        <v>60</v>
      </c>
      <c r="AJ16">
        <v>69</v>
      </c>
      <c r="AK16">
        <v>64</v>
      </c>
      <c r="AL16">
        <v>59</v>
      </c>
      <c r="AM16">
        <v>66</v>
      </c>
      <c r="AN16">
        <v>62</v>
      </c>
      <c r="AO16">
        <v>58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Z17">
        <v>4</v>
      </c>
      <c r="AA17">
        <v>69</v>
      </c>
      <c r="AB17">
        <v>60</v>
      </c>
      <c r="AC17">
        <v>53</v>
      </c>
      <c r="AD17">
        <v>67</v>
      </c>
      <c r="AE17">
        <v>59</v>
      </c>
      <c r="AF17">
        <v>52</v>
      </c>
      <c r="AG17">
        <v>64</v>
      </c>
      <c r="AH17">
        <v>57</v>
      </c>
      <c r="AI17">
        <v>51</v>
      </c>
      <c r="AJ17">
        <v>62</v>
      </c>
      <c r="AK17">
        <v>55</v>
      </c>
      <c r="AL17">
        <v>50</v>
      </c>
      <c r="AM17">
        <v>59</v>
      </c>
      <c r="AN17">
        <v>54</v>
      </c>
      <c r="AO17">
        <v>49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Z18">
        <v>5</v>
      </c>
      <c r="AA18">
        <v>61</v>
      </c>
      <c r="AB18">
        <v>52</v>
      </c>
      <c r="AC18">
        <v>46</v>
      </c>
      <c r="AD18">
        <v>60</v>
      </c>
      <c r="AE18">
        <v>52</v>
      </c>
      <c r="AF18">
        <v>45</v>
      </c>
      <c r="AG18">
        <v>58</v>
      </c>
      <c r="AH18">
        <v>50</v>
      </c>
      <c r="AI18">
        <v>44</v>
      </c>
      <c r="AJ18">
        <v>55</v>
      </c>
      <c r="AK18">
        <v>49</v>
      </c>
      <c r="AL18">
        <v>44</v>
      </c>
      <c r="AM18">
        <v>53</v>
      </c>
      <c r="AN18">
        <v>47</v>
      </c>
      <c r="AO18">
        <v>43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Z19">
        <v>6</v>
      </c>
      <c r="AA19">
        <v>55</v>
      </c>
      <c r="AB19">
        <v>46</v>
      </c>
      <c r="AC19">
        <v>40</v>
      </c>
      <c r="AD19">
        <v>54</v>
      </c>
      <c r="AE19">
        <v>46</v>
      </c>
      <c r="AF19">
        <v>39</v>
      </c>
      <c r="AG19">
        <v>52</v>
      </c>
      <c r="AH19">
        <v>44</v>
      </c>
      <c r="AI19">
        <v>39</v>
      </c>
      <c r="AJ19">
        <v>50</v>
      </c>
      <c r="AK19">
        <v>43</v>
      </c>
      <c r="AL19">
        <v>38</v>
      </c>
      <c r="AM19">
        <v>48</v>
      </c>
      <c r="AN19">
        <v>42</v>
      </c>
      <c r="AO19">
        <v>38</v>
      </c>
      <c r="AQ19">
        <v>6</v>
      </c>
    </row>
    <row r="20" spans="1:63" x14ac:dyDescent="0.25">
      <c r="I20">
        <v>7</v>
      </c>
      <c r="Z20">
        <v>7</v>
      </c>
      <c r="AA20">
        <v>50</v>
      </c>
      <c r="AB20">
        <v>41</v>
      </c>
      <c r="AC20">
        <v>35</v>
      </c>
      <c r="AD20">
        <v>49</v>
      </c>
      <c r="AE20">
        <v>41</v>
      </c>
      <c r="AF20">
        <v>35</v>
      </c>
      <c r="AG20">
        <v>47</v>
      </c>
      <c r="AH20">
        <v>40</v>
      </c>
      <c r="AI20">
        <v>34</v>
      </c>
      <c r="AJ20">
        <v>46</v>
      </c>
      <c r="AK20">
        <v>39</v>
      </c>
      <c r="AL20">
        <v>34</v>
      </c>
      <c r="AM20">
        <v>44</v>
      </c>
      <c r="AN20">
        <v>38</v>
      </c>
      <c r="AO20">
        <v>33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IF(ISNUMBER(SEARCH("FR",C21)),"Yes","No")</f>
        <v>No</v>
      </c>
      <c r="I21">
        <v>8</v>
      </c>
      <c r="Z21">
        <v>8</v>
      </c>
      <c r="AA21">
        <v>46</v>
      </c>
      <c r="AB21">
        <v>37</v>
      </c>
      <c r="AC21">
        <v>31</v>
      </c>
      <c r="AD21">
        <v>45</v>
      </c>
      <c r="AE21">
        <v>37</v>
      </c>
      <c r="AF21">
        <v>31</v>
      </c>
      <c r="AG21">
        <v>43</v>
      </c>
      <c r="AH21">
        <v>36</v>
      </c>
      <c r="AI21">
        <v>31</v>
      </c>
      <c r="AJ21">
        <v>42</v>
      </c>
      <c r="AK21">
        <v>35</v>
      </c>
      <c r="AL21">
        <v>30</v>
      </c>
      <c r="AM21">
        <v>40</v>
      </c>
      <c r="AN21">
        <v>34</v>
      </c>
      <c r="AO21">
        <v>30</v>
      </c>
      <c r="AQ21">
        <v>8</v>
      </c>
    </row>
    <row r="22" spans="1:63" x14ac:dyDescent="0.25">
      <c r="B22" t="s">
        <v>30</v>
      </c>
      <c r="C22" s="4" t="e">
        <f>VLOOKUP(C21,Model5235363199[],2,0)</f>
        <v>#N/A</v>
      </c>
      <c r="D22" t="s">
        <v>131</v>
      </c>
      <c r="I22">
        <v>9</v>
      </c>
      <c r="Z22">
        <v>9</v>
      </c>
      <c r="AA22">
        <v>42</v>
      </c>
      <c r="AB22">
        <v>34</v>
      </c>
      <c r="AC22">
        <v>28</v>
      </c>
      <c r="AD22">
        <v>41</v>
      </c>
      <c r="AE22">
        <v>33</v>
      </c>
      <c r="AF22">
        <v>28</v>
      </c>
      <c r="AG22">
        <v>40</v>
      </c>
      <c r="AH22">
        <v>33</v>
      </c>
      <c r="AI22">
        <v>28</v>
      </c>
      <c r="AJ22">
        <v>39</v>
      </c>
      <c r="AK22">
        <v>32</v>
      </c>
      <c r="AL22">
        <v>27</v>
      </c>
      <c r="AM22">
        <v>37</v>
      </c>
      <c r="AN22">
        <v>31</v>
      </c>
      <c r="AO22">
        <v>27</v>
      </c>
      <c r="AQ22">
        <v>9</v>
      </c>
    </row>
    <row r="23" spans="1:63" x14ac:dyDescent="0.25">
      <c r="B23" t="s">
        <v>31</v>
      </c>
      <c r="C23" t="e">
        <f>VLOOKUP(C21,Model5235363199[],3,FALSE)</f>
        <v>#N/A</v>
      </c>
      <c r="D23" t="s">
        <v>132</v>
      </c>
      <c r="I23">
        <v>10</v>
      </c>
      <c r="Z23">
        <v>10</v>
      </c>
      <c r="AA23">
        <v>39</v>
      </c>
      <c r="AB23">
        <v>31</v>
      </c>
      <c r="AC23">
        <v>25</v>
      </c>
      <c r="AD23">
        <v>38</v>
      </c>
      <c r="AE23">
        <v>30</v>
      </c>
      <c r="AF23">
        <v>25</v>
      </c>
      <c r="AG23">
        <v>37</v>
      </c>
      <c r="AH23">
        <v>30</v>
      </c>
      <c r="AI23">
        <v>25</v>
      </c>
      <c r="AJ23">
        <v>36</v>
      </c>
      <c r="AK23">
        <v>29</v>
      </c>
      <c r="AL23">
        <v>25</v>
      </c>
      <c r="AM23">
        <v>35</v>
      </c>
      <c r="AN23">
        <v>29</v>
      </c>
      <c r="AO23">
        <v>25</v>
      </c>
      <c r="AQ23">
        <v>10</v>
      </c>
    </row>
    <row r="24" spans="1:63" x14ac:dyDescent="0.25">
      <c r="B24" t="s">
        <v>3</v>
      </c>
      <c r="C24" s="11" t="e">
        <f t="array" ref="C24">INDEX(CUtable4225262198[],MATCH(1,(CUtable4225262198[RC]=C17)*(CUtable4225262198[RW]=C18)*(CUtable4225262198[FR]=E21),0),4)</f>
        <v>#VALUE!</v>
      </c>
      <c r="H24" s="5"/>
    </row>
    <row r="25" spans="1:63" x14ac:dyDescent="0.25">
      <c r="B25" t="s">
        <v>133</v>
      </c>
      <c r="C25" s="11">
        <f>VLOOKUP(E21,Table81217275767203[],2,FALSE)</f>
        <v>0</v>
      </c>
      <c r="H25" s="5"/>
      <c r="I25" t="s">
        <v>217</v>
      </c>
      <c r="J25" t="e">
        <f>J26*J30^3+J27*J30^2+J28*J30+J29</f>
        <v>#VALUE!</v>
      </c>
      <c r="K25" t="e">
        <f t="shared" ref="K25:X25" si="0">(K26*K30^3)+(K27*K30^2)+(K28*K30)+K29</f>
        <v>#VALUE!</v>
      </c>
      <c r="L25" t="e">
        <f t="shared" si="0"/>
        <v>#VALUE!</v>
      </c>
      <c r="M25" t="e">
        <f t="shared" si="0"/>
        <v>#VALUE!</v>
      </c>
      <c r="N25" t="e">
        <f t="shared" si="0"/>
        <v>#VALUE!</v>
      </c>
      <c r="O25" t="e">
        <f t="shared" si="0"/>
        <v>#VALUE!</v>
      </c>
      <c r="P25" t="e">
        <f t="shared" si="0"/>
        <v>#VALUE!</v>
      </c>
      <c r="Q25" t="e">
        <f t="shared" si="0"/>
        <v>#VALUE!</v>
      </c>
      <c r="R25" t="e">
        <f t="shared" si="0"/>
        <v>#VALUE!</v>
      </c>
      <c r="S25" t="e">
        <f t="shared" si="0"/>
        <v>#VALUE!</v>
      </c>
      <c r="T25" t="e">
        <f t="shared" si="0"/>
        <v>#VALUE!</v>
      </c>
      <c r="U25" t="e">
        <f t="shared" si="0"/>
        <v>#VALUE!</v>
      </c>
      <c r="V25" t="e">
        <f t="shared" si="0"/>
        <v>#VALUE!</v>
      </c>
      <c r="W25" t="e">
        <f t="shared" si="0"/>
        <v>#VALUE!</v>
      </c>
      <c r="X25" t="e">
        <f t="shared" si="0"/>
        <v>#VALUE!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VLOOKUP(E21,Table81217275767203[],3,FALSE)</f>
        <v>0</v>
      </c>
      <c r="H26" s="5"/>
      <c r="I26" t="s">
        <v>218</v>
      </c>
      <c r="J26" t="e">
        <f>INDEX(LINEST(TablePBL5161197[CU],TablePBL5161197[RCR]^{1,2,3}),1)</f>
        <v>#VALUE!</v>
      </c>
      <c r="K26" t="e">
        <f>INDEX(LINEST(TablePBL5161197[CU1],TablePBL5161197[RCR]^{1,2,3}),1)</f>
        <v>#VALUE!</v>
      </c>
      <c r="L26" t="e">
        <f>INDEX(LINEST(TablePBL5161197[CU2],TablePBL5161197[RCR]^{1,2,3}),1)</f>
        <v>#VALUE!</v>
      </c>
      <c r="M26" t="e">
        <f>INDEX(LINEST(TablePBL5161197[CU3],TablePBL5161197[RCR]^{1,2,3}),1)</f>
        <v>#VALUE!</v>
      </c>
      <c r="N26" t="e">
        <f>INDEX(LINEST(TablePBL5161197[CU4],TablePBL5161197[RCR]^{1,2,3}),1)</f>
        <v>#VALUE!</v>
      </c>
      <c r="O26" t="e">
        <f>INDEX(LINEST(TablePBL5161197[CU5],TablePBL5161197[RCR]^{1,2,3}),1)</f>
        <v>#VALUE!</v>
      </c>
      <c r="P26" t="e">
        <f>INDEX(LINEST(TablePBL5161197[CU6],TablePBL5161197[RCR]^{1,2,3}),1)</f>
        <v>#VALUE!</v>
      </c>
      <c r="Q26" t="e">
        <f>INDEX(LINEST(TablePBL5161197[CU7],TablePBL5161197[RCR]^{1,2,3}),1)</f>
        <v>#VALUE!</v>
      </c>
      <c r="R26" t="e">
        <f>INDEX(LINEST(TablePBL5161197[CU8],TablePBL5161197[RCR]^{1,2,3}),1)</f>
        <v>#VALUE!</v>
      </c>
      <c r="S26" t="e">
        <f>INDEX(LINEST(TablePBL5161197[CU9],TablePBL5161197[RCR]^{1,2,3}),1)</f>
        <v>#VALUE!</v>
      </c>
      <c r="T26" t="e">
        <f>INDEX(LINEST(TablePBL5161197[CU10],TablePBL5161197[RCR]^{1,2,3}),1)</f>
        <v>#VALUE!</v>
      </c>
      <c r="U26" t="e">
        <f>INDEX(LINEST(TablePBL5161197[CU11],TablePBL5161197[RCR]^{1,2,3}),1)</f>
        <v>#VALUE!</v>
      </c>
      <c r="V26" t="e">
        <f>INDEX(LINEST(TablePBL5161197[CU12],TablePBL5161197[RCR]^{1,2,3}),1)</f>
        <v>#VALUE!</v>
      </c>
      <c r="W26" t="e">
        <f>INDEX(LINEST(TablePBL5161197[CU13],TablePBL5161197[RCR]^{1,2,3}),1)</f>
        <v>#VALUE!</v>
      </c>
      <c r="X26" t="e">
        <f>INDEX(LINEST(TablePBL5161197[CU14],TablePBL5161197[RCR]^{1,2,3}),1)</f>
        <v>#VALUE!</v>
      </c>
      <c r="Z26" t="s">
        <v>218</v>
      </c>
      <c r="AA26">
        <f>INDEX(LINEST(TablePBLFR5868204[CU],TablePBLFR5868204[RCR]^{1,2,3}),1)</f>
        <v>-4.3512043512043692E-2</v>
      </c>
      <c r="AB26">
        <f>INDEX(LINEST(TablePBLFR5868204[CU1],TablePBLFR5868204[RCR]^{1,2,3}),1)</f>
        <v>-7.8088578088578539E-2</v>
      </c>
      <c r="AC26">
        <f>INDEX(LINEST(TablePBLFR5868204[CU2],TablePBLFR5868204[RCR]^{1,2,3}),1)</f>
        <v>-0.11344211344211405</v>
      </c>
      <c r="AD26">
        <f>INDEX(LINEST(TablePBLFR5868204[CU3],TablePBLFR5868204[RCR]^{1,2,3}),1)</f>
        <v>-4.9922299922300122E-2</v>
      </c>
      <c r="AE26">
        <f>INDEX(LINEST(TablePBLFR5868204[CU4],TablePBLFR5868204[RCR]^{1,2,3}),1)</f>
        <v>-8.3333333333333842E-2</v>
      </c>
      <c r="AF26">
        <f>INDEX(LINEST(TablePBLFR5868204[CU5],TablePBLFR5868204[RCR]^{1,2,3}),1)</f>
        <v>-0.11130536130536195</v>
      </c>
      <c r="AG26">
        <f>INDEX(LINEST(TablePBLFR5868204[CU6],TablePBLFR5868204[RCR]^{1,2,3}),1)</f>
        <v>-4.4483294483294689E-2</v>
      </c>
      <c r="AH26">
        <f>INDEX(LINEST(TablePBLFR5868204[CU7],TablePBLFR5868204[RCR]^{1,2,3}),1)</f>
        <v>-6.6045066045066048E-2</v>
      </c>
      <c r="AI26">
        <f>INDEX(LINEST(TablePBLFR5868204[CU8],TablePBLFR5868204[RCR]^{1,2,3}),1)</f>
        <v>-9.5571095571096068E-2</v>
      </c>
      <c r="AJ26">
        <f>INDEX(LINEST(TablePBLFR5868204[CU9],TablePBLFR5868204[RCR]^{1,2,3}),1)</f>
        <v>-4.3317793317793611E-2</v>
      </c>
      <c r="AK26">
        <f>INDEX(LINEST(TablePBLFR5868204[CU10],TablePBLFR5868204[RCR]^{1,2,3}),1)</f>
        <v>-6.1965811965812065E-2</v>
      </c>
      <c r="AL26">
        <f>INDEX(LINEST(TablePBLFR5868204[CU11],TablePBLFR5868204[RCR]^{1,2,3}),1)</f>
        <v>-7.7505827505828045E-2</v>
      </c>
      <c r="AM26">
        <f>INDEX(LINEST(TablePBLFR5868204[CU12],TablePBLFR5868204[RCR]^{1,2,3}),1)</f>
        <v>-3.8073038073038218E-2</v>
      </c>
      <c r="AN26">
        <f>INDEX(LINEST(TablePBLFR5868204[CU13],TablePBLFR5868204[RCR]^{1,2,3}),1)</f>
        <v>-4.8174048174048606E-2</v>
      </c>
      <c r="AO26">
        <f>INDEX(LINEST(TablePBLFR5868204[CU14],TablePBLFR5868204[RCR]^{1,2,3}),1)</f>
        <v>-6.3131313131313122E-2</v>
      </c>
      <c r="AQ26" t="s">
        <v>218</v>
      </c>
      <c r="AR26" t="e">
        <f>INDEX(LINEST(Table1x4306070206[CU],Table1x4306070206[RCR]^{1,2,3}),1)</f>
        <v>#VALUE!</v>
      </c>
      <c r="AS26" t="e">
        <f>INDEX(LINEST(Table1x4306070206[CU1],Table1x4306070206[RCR]^{1,2,3}),1)</f>
        <v>#VALUE!</v>
      </c>
      <c r="AT26" t="e">
        <f>INDEX(LINEST(Table1x4306070206[CU2],Table1x4306070206[RCR]^{1,2,3}),1)</f>
        <v>#VALUE!</v>
      </c>
      <c r="AU26" t="e">
        <f>INDEX(LINEST(Table1x4306070206[CU3],Table1x4306070206[RCR]^{1,2,3}),1)</f>
        <v>#VALUE!</v>
      </c>
      <c r="AV26" t="e">
        <f>INDEX(LINEST(Table1x4306070206[CU4],Table1x4306070206[RCR]^{1,2,3}),1)</f>
        <v>#VALUE!</v>
      </c>
      <c r="AW26" t="e">
        <f>INDEX(LINEST(Table1x4306070206[CU5],Table1x4306070206[RCR]^{1,2,3}),1)</f>
        <v>#VALUE!</v>
      </c>
      <c r="AX26" t="e">
        <f>INDEX(LINEST(Table1x4306070206[CU6],Table1x4306070206[RCR]^{1,2,3}),1)</f>
        <v>#VALUE!</v>
      </c>
      <c r="AY26" t="e">
        <f>INDEX(LINEST(Table1x4306070206[CU7],Table1x4306070206[RCR]^{1,2,3}),1)</f>
        <v>#VALUE!</v>
      </c>
      <c r="AZ26" t="e">
        <f>INDEX(LINEST(Table1x4306070206[CU8],Table1x4306070206[RCR]^{1,2,3}),1)</f>
        <v>#VALUE!</v>
      </c>
      <c r="BA26" t="e">
        <f>INDEX(LINEST(Table1x4306070206[CU9],Table1x4306070206[RCR]^{1,2,3}),1)</f>
        <v>#VALUE!</v>
      </c>
      <c r="BB26" t="e">
        <f>INDEX(LINEST(Table1x4306070206[CU10],Table1x4306070206[RCR]^{1,2,3}),1)</f>
        <v>#VALUE!</v>
      </c>
      <c r="BC26" t="e">
        <f>INDEX(LINEST(Table1x4306070206[CU11],Table1x4306070206[RCR]^{1,2,3}),1)</f>
        <v>#VALUE!</v>
      </c>
      <c r="BD26" t="e">
        <f>INDEX(LINEST(Table1x4306070206[CU12],Table1x4306070206[RCR]^{1,2,3}),1)</f>
        <v>#VALUE!</v>
      </c>
      <c r="BE26" t="e">
        <f>INDEX(LINEST(Table1x4306070206[CU13],Table1x4306070206[RCR]^{1,2,3}),1)</f>
        <v>#VALUE!</v>
      </c>
      <c r="BF26" t="e">
        <f>INDEX(LINEST(Table1x4306070206[CU14],Table1x4306070206[RCR]^{1,2,3}),1)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 t="e">
        <f t="array" ref="J27">INDEX(LINEST(TablePBL5161197[CU],TablePBL5161197[RCR]^{1,2,3}),1,2)</f>
        <v>#VALUE!</v>
      </c>
      <c r="K27" t="e">
        <f>INDEX(LINEST(TablePBL5161197[CU1],TablePBL5161197[RCR]^{1,2,3}),1,2)</f>
        <v>#VALUE!</v>
      </c>
      <c r="L27" t="e">
        <f>INDEX(LINEST(TablePBL5161197[CU2],TablePBL5161197[RCR]^{1,2,3}),1,2)</f>
        <v>#VALUE!</v>
      </c>
      <c r="M27" t="e">
        <f>INDEX(LINEST(TablePBL5161197[CU3],TablePBL5161197[RCR]^{1,2,3}),1,2)</f>
        <v>#VALUE!</v>
      </c>
      <c r="N27" t="e">
        <f>INDEX(LINEST(TablePBL5161197[CU4],TablePBL5161197[RCR]^{1,2,3}),1,2)</f>
        <v>#VALUE!</v>
      </c>
      <c r="O27" t="e">
        <f>INDEX(LINEST(TablePBL5161197[CU5],TablePBL5161197[RCR]^{1,2,3}),1,2)</f>
        <v>#VALUE!</v>
      </c>
      <c r="P27" t="e">
        <f>INDEX(LINEST(TablePBL5161197[CU6],TablePBL5161197[RCR]^{1,2,3}),1,2)</f>
        <v>#VALUE!</v>
      </c>
      <c r="Q27" t="e">
        <f>INDEX(LINEST(TablePBL5161197[CU7],TablePBL5161197[RCR]^{1,2,3}),1,2)</f>
        <v>#VALUE!</v>
      </c>
      <c r="R27" t="e">
        <f>INDEX(LINEST(TablePBL5161197[CU8],TablePBL5161197[RCR]^{1,2,3}),1,2)</f>
        <v>#VALUE!</v>
      </c>
      <c r="S27" t="e">
        <f>INDEX(LINEST(TablePBL5161197[CU9],TablePBL5161197[RCR]^{1,2,3}),1,2)</f>
        <v>#VALUE!</v>
      </c>
      <c r="T27" t="e">
        <f>INDEX(LINEST(TablePBL5161197[CU10],TablePBL5161197[RCR]^{1,2,3}),1,2)</f>
        <v>#VALUE!</v>
      </c>
      <c r="U27" t="e">
        <f>INDEX(LINEST(TablePBL5161197[CU11],TablePBL5161197[RCR]^{1,2,3}),1,2)</f>
        <v>#VALUE!</v>
      </c>
      <c r="V27" t="e">
        <f>INDEX(LINEST(TablePBL5161197[CU12],TablePBL5161197[RCR]^{1,2,3}),1,2)</f>
        <v>#VALUE!</v>
      </c>
      <c r="W27" t="e">
        <f>INDEX(LINEST(TablePBL5161197[CU13],TablePBL5161197[RCR]^{1,2,3}),1,2)</f>
        <v>#VALUE!</v>
      </c>
      <c r="X27" t="e">
        <f>INDEX(LINEST(TablePBL5161197[CU14],TablePBL5161197[RCR]^{1,2,3}),1,2)</f>
        <v>#VALUE!</v>
      </c>
      <c r="Z27" t="s">
        <v>219</v>
      </c>
      <c r="AA27">
        <f>INDEX(LINEST(TablePBLFR5868204[CU],TablePBLFR5868204[RCR]^{1,2,3}),1,2)</f>
        <v>1.3403263403263423</v>
      </c>
      <c r="AB27">
        <f>INDEX(LINEST(TablePBLFR5868204[CU1],TablePBLFR5868204[RCR]^{1,2,3}),1,2)</f>
        <v>2.0664335664335725</v>
      </c>
      <c r="AC27">
        <f>INDEX(LINEST(TablePBLFR5868204[CU2],TablePBLFR5868204[RCR]^{1,2,3}),1,2)</f>
        <v>2.7261072261072354</v>
      </c>
      <c r="AD27">
        <f>INDEX(LINEST(TablePBLFR5868204[CU3],TablePBLFR5868204[RCR]^{1,2,3}),1,2)</f>
        <v>1.4073426573426586</v>
      </c>
      <c r="AE27">
        <f>INDEX(LINEST(TablePBLFR5868204[CU4],TablePBLFR5868204[RCR]^{1,2,3}),1,2)</f>
        <v>2.0740093240093311</v>
      </c>
      <c r="AF27">
        <f>INDEX(LINEST(TablePBLFR5868204[CU5],TablePBLFR5868204[RCR]^{1,2,3}),1,2)</f>
        <v>2.669580419580428</v>
      </c>
      <c r="AG27">
        <f>INDEX(LINEST(TablePBLFR5868204[CU6],TablePBLFR5868204[RCR]^{1,2,3}),1,2)</f>
        <v>1.293123543123545</v>
      </c>
      <c r="AH27">
        <f>INDEX(LINEST(TablePBLFR5868204[CU7],TablePBLFR5868204[RCR]^{1,2,3}),1,2)</f>
        <v>1.7727272727272718</v>
      </c>
      <c r="AI27">
        <f>INDEX(LINEST(TablePBLFR5868204[CU8],TablePBLFR5868204[RCR]^{1,2,3}),1,2)</f>
        <v>2.35314685314686</v>
      </c>
      <c r="AJ27">
        <f>INDEX(LINEST(TablePBLFR5868204[CU9],TablePBLFR5868204[RCR]^{1,2,3}),1,2)</f>
        <v>1.238344988344992</v>
      </c>
      <c r="AK27">
        <f>INDEX(LINEST(TablePBLFR5868204[CU10],TablePBLFR5868204[RCR]^{1,2,3}),1,2)</f>
        <v>1.6404428904428909</v>
      </c>
      <c r="AL27">
        <f>INDEX(LINEST(TablePBLFR5868204[CU11],TablePBLFR5868204[RCR]^{1,2,3}),1,2)</f>
        <v>1.9982517482517557</v>
      </c>
      <c r="AM27">
        <f>INDEX(LINEST(TablePBLFR5868204[CU12],TablePBLFR5868204[RCR]^{1,2,3}),1,2)</f>
        <v>1.1305361305361317</v>
      </c>
      <c r="AN27">
        <f>INDEX(LINEST(TablePBLFR5868204[CU13],TablePBLFR5868204[RCR]^{1,2,3}),1,2)</f>
        <v>1.3881118881118943</v>
      </c>
      <c r="AO27">
        <f>INDEX(LINEST(TablePBLFR5868204[CU14],TablePBLFR5868204[RCR]^{1,2,3}),1,2)</f>
        <v>1.7127039627039617</v>
      </c>
      <c r="AQ27" t="s">
        <v>219</v>
      </c>
      <c r="AR27" t="e">
        <f>INDEX(LINEST(Table1x4306070206[CU],Table1x4306070206[RCR]^{1,2,3}),1,2)</f>
        <v>#VALUE!</v>
      </c>
      <c r="AS27" t="e">
        <f>INDEX(LINEST(Table1x4306070206[CU1],Table1x4306070206[RCR]^{1,2,3}),1,2)</f>
        <v>#VALUE!</v>
      </c>
      <c r="AT27" t="e">
        <f>INDEX(LINEST(Table1x4306070206[CU2],Table1x4306070206[RCR]^{1,2,3}),1,2)</f>
        <v>#VALUE!</v>
      </c>
      <c r="AU27" t="e">
        <f>INDEX(LINEST(Table1x4306070206[CU3],Table1x4306070206[RCR]^{1,2,3}),1,2)</f>
        <v>#VALUE!</v>
      </c>
      <c r="AV27" t="e">
        <f>INDEX(LINEST(Table1x4306070206[CU4],Table1x4306070206[RCR]^{1,2,3}),1,2)</f>
        <v>#VALUE!</v>
      </c>
      <c r="AW27" t="e">
        <f>INDEX(LINEST(Table1x4306070206[CU5],Table1x4306070206[RCR]^{1,2,3}),1,2)</f>
        <v>#VALUE!</v>
      </c>
      <c r="AX27" t="e">
        <f>INDEX(LINEST(Table1x4306070206[CU6],Table1x4306070206[RCR]^{1,2,3}),1,2)</f>
        <v>#VALUE!</v>
      </c>
      <c r="AY27" t="e">
        <f>INDEX(LINEST(Table1x4306070206[CU7],Table1x4306070206[RCR]^{1,2,3}),1,2)</f>
        <v>#VALUE!</v>
      </c>
      <c r="AZ27" t="e">
        <f>INDEX(LINEST(Table1x4306070206[CU8],Table1x4306070206[RCR]^{1,2,3}),1,2)</f>
        <v>#VALUE!</v>
      </c>
      <c r="BA27" t="e">
        <f>INDEX(LINEST(Table1x4306070206[CU9],Table1x4306070206[RCR]^{1,2,3}),1,2)</f>
        <v>#VALUE!</v>
      </c>
      <c r="BB27" t="e">
        <f>INDEX(LINEST(Table1x4306070206[CU10],Table1x4306070206[RCR]^{1,2,3}),1,2)</f>
        <v>#VALUE!</v>
      </c>
      <c r="BC27" t="e">
        <f>INDEX(LINEST(Table1x4306070206[CU11],Table1x4306070206[RCR]^{1,2,3}),1,2)</f>
        <v>#VALUE!</v>
      </c>
      <c r="BD27" t="e">
        <f>INDEX(LINEST(Table1x4306070206[CU12],Table1x4306070206[RCR]^{1,2,3}),1,2)</f>
        <v>#VALUE!</v>
      </c>
      <c r="BE27" t="e">
        <f>INDEX(LINEST(Table1x4306070206[CU13],Table1x4306070206[RCR]^{1,2,3}),1,2)</f>
        <v>#VALUE!</v>
      </c>
      <c r="BF27" t="e">
        <f>INDEX(LINEST(Table1x4306070206[CU14],Table1x4306070206[RCR]^{1,2,3}),1,2)</f>
        <v>#VALUE!</v>
      </c>
    </row>
    <row r="28" spans="1:63" x14ac:dyDescent="0.25">
      <c r="C28" s="3"/>
      <c r="H28" s="5"/>
      <c r="I28" t="s">
        <v>220</v>
      </c>
      <c r="J28" t="e">
        <f t="array" ref="J28">INDEX(LINEST(TablePBL5161197[CU],TablePBL5161197[RCR]^{1,2,3}),1,3)</f>
        <v>#VALUE!</v>
      </c>
      <c r="K28" t="e">
        <f>INDEX(LINEST(TablePBL5161197[CU1],TablePBL5161197[RCR]^{1,2,3}),1,3)</f>
        <v>#VALUE!</v>
      </c>
      <c r="L28" t="e">
        <f>INDEX(LINEST(TablePBL5161197[CU2],TablePBL5161197[RCR]^{1,2,3}),1,3)</f>
        <v>#VALUE!</v>
      </c>
      <c r="M28" t="e">
        <f>INDEX(LINEST(TablePBL5161197[CU3],TablePBL5161197[RCR]^{1,2,3}),1,3)</f>
        <v>#VALUE!</v>
      </c>
      <c r="N28" t="e">
        <f>INDEX(LINEST(TablePBL5161197[CU4],TablePBL5161197[RCR]^{1,2,3}),1,3)</f>
        <v>#VALUE!</v>
      </c>
      <c r="O28" t="e">
        <f>INDEX(LINEST(TablePBL5161197[CU5],TablePBL5161197[RCR]^{1,2,3}),1,3)</f>
        <v>#VALUE!</v>
      </c>
      <c r="P28" t="e">
        <f>INDEX(LINEST(TablePBL5161197[CU6],TablePBL5161197[RCR]^{1,2,3}),1,3)</f>
        <v>#VALUE!</v>
      </c>
      <c r="Q28" t="e">
        <f>INDEX(LINEST(TablePBL5161197[CU7],TablePBL5161197[RCR]^{1,2,3}),1,3)</f>
        <v>#VALUE!</v>
      </c>
      <c r="R28" t="e">
        <f>INDEX(LINEST(TablePBL5161197[CU8],TablePBL5161197[RCR]^{1,2,3}),1,3)</f>
        <v>#VALUE!</v>
      </c>
      <c r="S28" t="e">
        <f>INDEX(LINEST(TablePBL5161197[CU9],TablePBL5161197[RCR]^{1,2,3}),1,3)</f>
        <v>#VALUE!</v>
      </c>
      <c r="T28" t="e">
        <f>INDEX(LINEST(TablePBL5161197[CU10],TablePBL5161197[RCR]^{1,2,3}),1,3)</f>
        <v>#VALUE!</v>
      </c>
      <c r="U28" t="e">
        <f>INDEX(LINEST(TablePBL5161197[CU11],TablePBL5161197[RCR]^{1,2,3}),1,3)</f>
        <v>#VALUE!</v>
      </c>
      <c r="V28" t="e">
        <f>INDEX(LINEST(TablePBL5161197[CU12],TablePBL5161197[RCR]^{1,2,3}),1,3)</f>
        <v>#VALUE!</v>
      </c>
      <c r="W28" t="e">
        <f>INDEX(LINEST(TablePBL5161197[CU13],TablePBL5161197[RCR]^{1,2,3}),1,3)</f>
        <v>#VALUE!</v>
      </c>
      <c r="X28" t="e">
        <f>INDEX(LINEST(TablePBL5161197[CU14],TablePBL5161197[RCR]^{1,2,3}),1,3)</f>
        <v>#VALUE!</v>
      </c>
      <c r="Z28" t="s">
        <v>220</v>
      </c>
      <c r="AA28">
        <f>INDEX(LINEST(TablePBLFR5868204[CU],TablePBLFR5868204[RCR]^{1,2,3}),1,3)</f>
        <v>-16.947163947163947</v>
      </c>
      <c r="AB28">
        <f>INDEX(LINEST(TablePBLFR5868204[CU1],TablePBLFR5868204[RCR]^{1,2,3}),1,3)</f>
        <v>-21.526806526806546</v>
      </c>
      <c r="AC28">
        <f>INDEX(LINEST(TablePBLFR5868204[CU2],TablePBLFR5868204[RCR]^{1,2,3}),1,3)</f>
        <v>-25.179098679098711</v>
      </c>
      <c r="AD28">
        <f>INDEX(LINEST(TablePBLFR5868204[CU3],TablePBLFR5868204[RCR]^{1,2,3}),1,3)</f>
        <v>-16.777000777000769</v>
      </c>
      <c r="AE28">
        <f>INDEX(LINEST(TablePBLFR5868204[CU4],TablePBLFR5868204[RCR]^{1,2,3}),1,3)</f>
        <v>-20.906759906759927</v>
      </c>
      <c r="AF28">
        <f>INDEX(LINEST(TablePBLFR5868204[CU5],TablePBLFR5868204[RCR]^{1,2,3}),1,3)</f>
        <v>-24.530303030303056</v>
      </c>
      <c r="AG28">
        <f>INDEX(LINEST(TablePBLFR5868204[CU6],TablePBLFR5868204[RCR]^{1,2,3}),1,3)</f>
        <v>-15.703185703185699</v>
      </c>
      <c r="AH28">
        <f>INDEX(LINEST(TablePBLFR5868204[CU7],TablePBLFR5868204[RCR]^{1,2,3}),1,3)</f>
        <v>-19.007381507381492</v>
      </c>
      <c r="AI28">
        <f>INDEX(LINEST(TablePBLFR5868204[CU8],TablePBLFR5868204[RCR]^{1,2,3}),1,3)</f>
        <v>-22.362470862470882</v>
      </c>
      <c r="AJ28">
        <f>INDEX(LINEST(TablePBLFR5868204[CU9],TablePBLFR5868204[RCR]^{1,2,3}),1,3)</f>
        <v>-14.845376845376855</v>
      </c>
      <c r="AK28">
        <f>INDEX(LINEST(TablePBLFR5868204[CU10],TablePBLFR5868204[RCR]^{1,2,3}),1,3)</f>
        <v>-17.690365190365181</v>
      </c>
      <c r="AL28">
        <f>INDEX(LINEST(TablePBLFR5868204[CU11],TablePBLFR5868204[RCR]^{1,2,3}),1,3)</f>
        <v>-20.14452214452217</v>
      </c>
      <c r="AM28">
        <f>INDEX(LINEST(TablePBLFR5868204[CU12],TablePBLFR5868204[RCR]^{1,2,3}),1,3)</f>
        <v>-13.917637917637915</v>
      </c>
      <c r="AN28">
        <f>INDEX(LINEST(TablePBLFR5868204[CU13],TablePBLFR5868204[RCR]^{1,2,3}),1,3)</f>
        <v>-16.074203574203594</v>
      </c>
      <c r="AO28">
        <f>INDEX(LINEST(TablePBLFR5868204[CU14],TablePBLFR5868204[RCR]^{1,2,3}),1,3)</f>
        <v>-18.22299922299921</v>
      </c>
      <c r="AQ28" t="s">
        <v>220</v>
      </c>
      <c r="AR28" t="e">
        <f>INDEX(LINEST(Table1x4306070206[CU],Table1x4306070206[RCR]^{1,2,3}),1,3)</f>
        <v>#VALUE!</v>
      </c>
      <c r="AS28" t="e">
        <f>INDEX(LINEST(Table1x4306070206[CU1],Table1x4306070206[RCR]^{1,2,3}),1,3)</f>
        <v>#VALUE!</v>
      </c>
      <c r="AT28" t="e">
        <f>INDEX(LINEST(Table1x4306070206[CU2],Table1x4306070206[RCR]^{1,2,3}),1,3)</f>
        <v>#VALUE!</v>
      </c>
      <c r="AU28" t="e">
        <f>INDEX(LINEST(Table1x4306070206[CU3],Table1x4306070206[RCR]^{1,2,3}),1,3)</f>
        <v>#VALUE!</v>
      </c>
      <c r="AV28" t="e">
        <f>INDEX(LINEST(Table1x4306070206[CU4],Table1x4306070206[RCR]^{1,2,3}),1,3)</f>
        <v>#VALUE!</v>
      </c>
      <c r="AW28" t="e">
        <f>INDEX(LINEST(Table1x4306070206[CU5],Table1x4306070206[RCR]^{1,2,3}),1,3)</f>
        <v>#VALUE!</v>
      </c>
      <c r="AX28" t="e">
        <f>INDEX(LINEST(Table1x4306070206[CU6],Table1x4306070206[RCR]^{1,2,3}),1,3)</f>
        <v>#VALUE!</v>
      </c>
      <c r="AY28" t="e">
        <f>INDEX(LINEST(Table1x4306070206[CU7],Table1x4306070206[RCR]^{1,2,3}),1,3)</f>
        <v>#VALUE!</v>
      </c>
      <c r="AZ28" t="e">
        <f>INDEX(LINEST(Table1x4306070206[CU8],Table1x4306070206[RCR]^{1,2,3}),1,3)</f>
        <v>#VALUE!</v>
      </c>
      <c r="BA28" t="e">
        <f>INDEX(LINEST(Table1x4306070206[CU9],Table1x4306070206[RCR]^{1,2,3}),1,3)</f>
        <v>#VALUE!</v>
      </c>
      <c r="BB28" t="e">
        <f>INDEX(LINEST(Table1x4306070206[CU10],Table1x4306070206[RCR]^{1,2,3}),1,3)</f>
        <v>#VALUE!</v>
      </c>
      <c r="BC28" t="e">
        <f>INDEX(LINEST(Table1x4306070206[CU11],Table1x4306070206[RCR]^{1,2,3}),1,3)</f>
        <v>#VALUE!</v>
      </c>
      <c r="BD28" t="e">
        <f>INDEX(LINEST(Table1x4306070206[CU12],Table1x4306070206[RCR]^{1,2,3}),1,3)</f>
        <v>#VALUE!</v>
      </c>
      <c r="BE28" t="e">
        <f>INDEX(LINEST(Table1x4306070206[CU13],Table1x4306070206[RCR]^{1,2,3}),1,3)</f>
        <v>#VALUE!</v>
      </c>
      <c r="BF28" t="e">
        <f>INDEX(LINEST(Table1x4306070206[CU14],Table1x4306070206[RCR]^{1,2,3}),1,3)</f>
        <v>#VALUE!</v>
      </c>
    </row>
    <row r="29" spans="1:63" x14ac:dyDescent="0.25">
      <c r="C29" s="3"/>
      <c r="H29" s="5"/>
      <c r="I29" t="s">
        <v>221</v>
      </c>
      <c r="J29" t="e">
        <f>INDEX(LINEST(TablePBL5161197[CU],TablePBL5161197[RCR]^{1,2,3}),1,4)</f>
        <v>#VALUE!</v>
      </c>
      <c r="K29" t="e">
        <f>INDEX(LINEST(TablePBL5161197[CU1],TablePBL5161197[RCR]^{1,2,3}),1,4)</f>
        <v>#VALUE!</v>
      </c>
      <c r="L29" t="e">
        <f>INDEX(LINEST(TablePBL5161197[CU2],TablePBL5161197[RCR]^{1,2,3}),1,4)</f>
        <v>#VALUE!</v>
      </c>
      <c r="M29" t="e">
        <f>INDEX(LINEST(TablePBL5161197[CU3],TablePBL5161197[RCR]^{1,2,3}),1,4)</f>
        <v>#VALUE!</v>
      </c>
      <c r="N29" t="e">
        <f>INDEX(LINEST(TablePBL5161197[CU4],TablePBL5161197[RCR]^{1,2,3}),1,4)</f>
        <v>#VALUE!</v>
      </c>
      <c r="O29" t="e">
        <f>INDEX(LINEST(TablePBL5161197[CU5],TablePBL5161197[RCR]^{1,2,3}),1,4)</f>
        <v>#VALUE!</v>
      </c>
      <c r="P29" t="e">
        <f>INDEX(LINEST(TablePBL5161197[CU6],TablePBL5161197[RCR]^{1,2,3}),1,4)</f>
        <v>#VALUE!</v>
      </c>
      <c r="Q29" t="e">
        <f>INDEX(LINEST(TablePBL5161197[CU7],TablePBL5161197[RCR]^{1,2,3}),1,4)</f>
        <v>#VALUE!</v>
      </c>
      <c r="R29" t="e">
        <f>INDEX(LINEST(TablePBL5161197[CU8],TablePBL5161197[RCR]^{1,2,3}),1,4)</f>
        <v>#VALUE!</v>
      </c>
      <c r="S29" t="e">
        <f>INDEX(LINEST(TablePBL5161197[CU9],TablePBL5161197[RCR]^{1,2,3}),1,4)</f>
        <v>#VALUE!</v>
      </c>
      <c r="T29" t="e">
        <f>INDEX(LINEST(TablePBL5161197[CU10],TablePBL5161197[RCR]^{1,2,3}),1,4)</f>
        <v>#VALUE!</v>
      </c>
      <c r="U29" t="e">
        <f>INDEX(LINEST(TablePBL5161197[CU11],TablePBL5161197[RCR]^{1,2,3}),1,4)</f>
        <v>#VALUE!</v>
      </c>
      <c r="V29" t="e">
        <f>INDEX(LINEST(TablePBL5161197[CU12],TablePBL5161197[RCR]^{1,2,3}),1,4)</f>
        <v>#VALUE!</v>
      </c>
      <c r="W29" t="e">
        <f>INDEX(LINEST(TablePBL5161197[CU13],TablePBL5161197[RCR]^{1,2,3}),1,4)</f>
        <v>#VALUE!</v>
      </c>
      <c r="X29" t="e">
        <f>INDEX(LINEST(TablePBL5161197[CU14],TablePBL5161197[RCR]^{1,2,3}),1,4)</f>
        <v>#VALUE!</v>
      </c>
      <c r="Z29" t="s">
        <v>221</v>
      </c>
      <c r="AA29">
        <f>INDEX(LINEST(TablePBLFR5868204[CU],TablePBLFR5868204[RCR]^{1,2,3}),1,4)</f>
        <v>117.88111888111885</v>
      </c>
      <c r="AB29">
        <f>INDEX(LINEST(TablePBLFR5868204[CU1],TablePBLFR5868204[RCR]^{1,2,3}),1,4)</f>
        <v>117.41958041958043</v>
      </c>
      <c r="AC29">
        <f>INDEX(LINEST(TablePBLFR5868204[CU2],TablePBLFR5868204[RCR]^{1,2,3}),1,4)</f>
        <v>116.95104895104896</v>
      </c>
      <c r="AD29">
        <f>INDEX(LINEST(TablePBLFR5868204[CU3],TablePBLFR5868204[RCR]^{1,2,3}),1,4)</f>
        <v>114.72027972027968</v>
      </c>
      <c r="AE29">
        <f>INDEX(LINEST(TablePBLFR5868204[CU4],TablePBLFR5868204[RCR]^{1,2,3}),1,4)</f>
        <v>114.49650349650349</v>
      </c>
      <c r="AF29">
        <f>INDEX(LINEST(TablePBLFR5868204[CU5],TablePBLFR5868204[RCR]^{1,2,3}),1,4)</f>
        <v>114.09790209790211</v>
      </c>
      <c r="AG29">
        <f>INDEX(LINEST(TablePBLFR5868204[CU6],TablePBLFR5868204[RCR]^{1,2,3}),1,4)</f>
        <v>109.03496503496498</v>
      </c>
      <c r="AH29">
        <f>INDEX(LINEST(TablePBLFR5868204[CU7],TablePBLFR5868204[RCR]^{1,2,3}),1,4)</f>
        <v>108.69930069930066</v>
      </c>
      <c r="AI29">
        <f>INDEX(LINEST(TablePBLFR5868204[CU8],TablePBLFR5868204[RCR]^{1,2,3}),1,4)</f>
        <v>108.55244755244755</v>
      </c>
      <c r="AJ29">
        <f>INDEX(LINEST(TablePBLFR5868204[CU9],TablePBLFR5868204[RCR]^{1,2,3}),1,4)</f>
        <v>103.88811188811189</v>
      </c>
      <c r="AK29">
        <f>INDEX(LINEST(TablePBLFR5868204[CU10],TablePBLFR5868204[RCR]^{1,2,3}),1,4)</f>
        <v>103.6223776223776</v>
      </c>
      <c r="AL29">
        <f>INDEX(LINEST(TablePBLFR5868204[CU11],TablePBLFR5868204[RCR]^{1,2,3}),1,4)</f>
        <v>103.55244755244756</v>
      </c>
      <c r="AM29">
        <f>INDEX(LINEST(TablePBLFR5868204[CU12],TablePBLFR5868204[RCR]^{1,2,3}),1,4)</f>
        <v>98.853146853146853</v>
      </c>
      <c r="AN29">
        <f>INDEX(LINEST(TablePBLFR5868204[CU13],TablePBLFR5868204[RCR]^{1,2,3}),1,4)</f>
        <v>98.76223776223776</v>
      </c>
      <c r="AO29">
        <f>INDEX(LINEST(TablePBLFR5868204[CU14],TablePBLFR5868204[RCR]^{1,2,3}),1,4)</f>
        <v>98.713286713286692</v>
      </c>
      <c r="AQ29" t="s">
        <v>221</v>
      </c>
      <c r="AR29" t="e">
        <f>INDEX(LINEST(Table1x4306070206[CU],Table1x4306070206[RCR]^{1,2,3}),1,4)</f>
        <v>#VALUE!</v>
      </c>
      <c r="AS29" t="e">
        <f>INDEX(LINEST(Table1x4306070206[CU1],Table1x4306070206[RCR]^{1,2,3}),1,4)</f>
        <v>#VALUE!</v>
      </c>
      <c r="AT29" t="e">
        <f>INDEX(LINEST(Table1x4306070206[CU2],Table1x4306070206[RCR]^{1,2,3}),1,4)</f>
        <v>#VALUE!</v>
      </c>
      <c r="AU29" t="e">
        <f>INDEX(LINEST(Table1x4306070206[CU3],Table1x4306070206[RCR]^{1,2,3}),1,4)</f>
        <v>#VALUE!</v>
      </c>
      <c r="AV29" t="e">
        <f>INDEX(LINEST(Table1x4306070206[CU4],Table1x4306070206[RCR]^{1,2,3}),1,4)</f>
        <v>#VALUE!</v>
      </c>
      <c r="AW29" t="e">
        <f>INDEX(LINEST(Table1x4306070206[CU5],Table1x4306070206[RCR]^{1,2,3}),1,4)</f>
        <v>#VALUE!</v>
      </c>
      <c r="AX29" t="e">
        <f>INDEX(LINEST(Table1x4306070206[CU6],Table1x4306070206[RCR]^{1,2,3}),1,4)</f>
        <v>#VALUE!</v>
      </c>
      <c r="AY29" t="e">
        <f>INDEX(LINEST(Table1x4306070206[CU7],Table1x4306070206[RCR]^{1,2,3}),1,4)</f>
        <v>#VALUE!</v>
      </c>
      <c r="AZ29" t="e">
        <f>INDEX(LINEST(Table1x4306070206[CU8],Table1x4306070206[RCR]^{1,2,3}),1,4)</f>
        <v>#VALUE!</v>
      </c>
      <c r="BA29" t="e">
        <f>INDEX(LINEST(Table1x4306070206[CU9],Table1x4306070206[RCR]^{1,2,3}),1,4)</f>
        <v>#VALUE!</v>
      </c>
      <c r="BB29" t="e">
        <f>INDEX(LINEST(Table1x4306070206[CU10],Table1x4306070206[RCR]^{1,2,3}),1,4)</f>
        <v>#VALUE!</v>
      </c>
      <c r="BC29" t="e">
        <f>INDEX(LINEST(Table1x4306070206[CU11],Table1x4306070206[RCR]^{1,2,3}),1,4)</f>
        <v>#VALUE!</v>
      </c>
      <c r="BD29" t="e">
        <f>INDEX(LINEST(Table1x4306070206[CU12],Table1x4306070206[RCR]^{1,2,3}),1,4)</f>
        <v>#VALUE!</v>
      </c>
      <c r="BE29" t="e">
        <f>INDEX(LINEST(Table1x4306070206[CU13],Table1x4306070206[RCR]^{1,2,3}),1,4)</f>
        <v>#VALUE!</v>
      </c>
      <c r="BF29" t="e">
        <f>INDEX(LINEST(Table1x4306070206[CU14],Table1x4306070206[RCR]^{1,2,3}),1,4)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114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116</v>
      </c>
      <c r="L33" t="e">
        <f>J25</f>
        <v>#VALUE!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116</v>
      </c>
      <c r="L34" t="e">
        <f>K25</f>
        <v>#VALUE!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116</v>
      </c>
      <c r="L35" t="e">
        <f>L25</f>
        <v>#VALUE!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116</v>
      </c>
      <c r="L36" t="e">
        <f>M25</f>
        <v>#VALUE!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116</v>
      </c>
      <c r="L37" t="e">
        <f>N25</f>
        <v>#VALUE!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116</v>
      </c>
      <c r="L38" t="e">
        <f>O25</f>
        <v>#VALUE!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116</v>
      </c>
      <c r="L39" t="e">
        <f>P25</f>
        <v>#VALUE!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116</v>
      </c>
      <c r="L40" t="e">
        <f>Q25</f>
        <v>#VALUE!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116</v>
      </c>
      <c r="L41" t="e">
        <f>R25</f>
        <v>#VALUE!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116</v>
      </c>
      <c r="L42" t="e">
        <f>S25</f>
        <v>#VALUE!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116</v>
      </c>
      <c r="L43" t="e">
        <f>T25</f>
        <v>#VALUE!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0</v>
      </c>
      <c r="F44" s="12">
        <f>E44*(C14-C15)</f>
        <v>0</v>
      </c>
      <c r="H44" t="s">
        <v>25</v>
      </c>
      <c r="I44">
        <v>30</v>
      </c>
      <c r="J44">
        <v>10</v>
      </c>
      <c r="K44" t="s">
        <v>116</v>
      </c>
      <c r="L44" t="e">
        <f>U25</f>
        <v>#VALUE!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0</v>
      </c>
      <c r="F45" s="12">
        <f>E45*(C14-C15)</f>
        <v>0</v>
      </c>
      <c r="H45" t="s">
        <v>27</v>
      </c>
      <c r="I45">
        <v>10</v>
      </c>
      <c r="J45">
        <v>50</v>
      </c>
      <c r="K45" t="s">
        <v>116</v>
      </c>
      <c r="L45" t="e">
        <f>V25</f>
        <v>#VALUE!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116</v>
      </c>
      <c r="L46" t="e">
        <f>W25</f>
        <v>#VALUE!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116</v>
      </c>
      <c r="L47" t="e">
        <f>X25</f>
        <v>#VALUE!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s="20" t="s">
        <v>13</v>
      </c>
      <c r="I48" s="20">
        <v>80</v>
      </c>
      <c r="J48" s="20">
        <v>50</v>
      </c>
      <c r="K48" s="20" t="s">
        <v>115</v>
      </c>
      <c r="L48" s="20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115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 t="s">
        <v>115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 t="s">
        <v>115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115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115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115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115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115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115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 t="s">
        <v>115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 t="s">
        <v>115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 t="s">
        <v>115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 t="s">
        <v>115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 t="s">
        <v>115</v>
      </c>
      <c r="L62" t="e">
        <f>AO25</f>
        <v>#DIV/0!</v>
      </c>
    </row>
    <row r="63" spans="1:12" x14ac:dyDescent="0.25">
      <c r="H63" s="20" t="s">
        <v>13</v>
      </c>
      <c r="I63" s="20">
        <v>80</v>
      </c>
      <c r="J63" s="20">
        <v>50</v>
      </c>
      <c r="K63" s="20"/>
      <c r="L63" s="20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2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2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2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2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2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2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2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2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2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2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2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2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2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114</v>
      </c>
      <c r="S80" t="s">
        <v>135</v>
      </c>
      <c r="T80" t="s">
        <v>136</v>
      </c>
      <c r="V80" t="s">
        <v>138</v>
      </c>
    </row>
    <row r="81" spans="9:22" x14ac:dyDescent="0.25">
      <c r="I81" t="s">
        <v>1253</v>
      </c>
      <c r="J81" s="5">
        <v>2416</v>
      </c>
      <c r="K81" s="18">
        <v>17</v>
      </c>
      <c r="N81">
        <v>80</v>
      </c>
      <c r="O81">
        <v>50</v>
      </c>
      <c r="P81">
        <v>20</v>
      </c>
      <c r="R81" t="s">
        <v>115</v>
      </c>
      <c r="S81">
        <v>1.26</v>
      </c>
      <c r="T81">
        <v>1.3</v>
      </c>
      <c r="V81">
        <v>0</v>
      </c>
    </row>
    <row r="82" spans="9:22" x14ac:dyDescent="0.25">
      <c r="I82" t="s">
        <v>1254</v>
      </c>
      <c r="J82" s="5">
        <v>2917</v>
      </c>
      <c r="K82" s="18">
        <v>20</v>
      </c>
      <c r="N82">
        <v>70</v>
      </c>
      <c r="O82">
        <v>30</v>
      </c>
      <c r="R82" t="s">
        <v>116</v>
      </c>
      <c r="S82" s="11"/>
      <c r="V82">
        <v>90</v>
      </c>
    </row>
    <row r="83" spans="9:22" x14ac:dyDescent="0.25">
      <c r="I83" t="s">
        <v>1255</v>
      </c>
      <c r="J83" s="5">
        <v>3992</v>
      </c>
      <c r="K83" s="18">
        <v>28</v>
      </c>
      <c r="N83">
        <v>50</v>
      </c>
      <c r="O83">
        <v>10</v>
      </c>
    </row>
    <row r="84" spans="9:22" x14ac:dyDescent="0.25">
      <c r="I84" t="s">
        <v>1256</v>
      </c>
      <c r="J84" s="5">
        <v>4815</v>
      </c>
      <c r="K84" s="18">
        <v>34</v>
      </c>
      <c r="N84">
        <v>30</v>
      </c>
    </row>
    <row r="85" spans="9:22" x14ac:dyDescent="0.25">
      <c r="I85" t="s">
        <v>1257</v>
      </c>
      <c r="J85" s="5">
        <v>6006</v>
      </c>
      <c r="K85" s="18">
        <v>44</v>
      </c>
      <c r="N85">
        <v>10</v>
      </c>
    </row>
    <row r="86" spans="9:22" x14ac:dyDescent="0.25">
      <c r="I86" t="s">
        <v>1258</v>
      </c>
      <c r="J86" s="5">
        <v>7750</v>
      </c>
      <c r="K86" s="18">
        <v>60</v>
      </c>
    </row>
    <row r="87" spans="9:22" x14ac:dyDescent="0.25">
      <c r="I87" t="s">
        <v>1259</v>
      </c>
      <c r="J87" s="5">
        <v>3996</v>
      </c>
      <c r="K87" s="18">
        <v>26</v>
      </c>
    </row>
    <row r="88" spans="9:22" x14ac:dyDescent="0.25">
      <c r="I88" t="s">
        <v>1260</v>
      </c>
      <c r="J88" s="5">
        <v>5979</v>
      </c>
      <c r="K88" s="18">
        <v>40</v>
      </c>
    </row>
    <row r="89" spans="9:22" x14ac:dyDescent="0.25">
      <c r="I89" t="s">
        <v>1261</v>
      </c>
      <c r="J89" s="5">
        <v>7854</v>
      </c>
      <c r="K89" s="18">
        <v>54</v>
      </c>
    </row>
    <row r="90" spans="9:22" x14ac:dyDescent="0.25">
      <c r="I90" t="s">
        <v>1262</v>
      </c>
      <c r="J90" s="5">
        <v>9630</v>
      </c>
      <c r="K90" s="18">
        <v>68</v>
      </c>
    </row>
    <row r="91" spans="9:22" x14ac:dyDescent="0.25">
      <c r="I91" t="s">
        <v>1263</v>
      </c>
      <c r="J91" s="5">
        <v>11666</v>
      </c>
      <c r="K91" s="18">
        <v>85</v>
      </c>
    </row>
    <row r="92" spans="9:22" x14ac:dyDescent="0.25">
      <c r="I92" t="s">
        <v>1264</v>
      </c>
      <c r="J92" s="5">
        <v>15501</v>
      </c>
      <c r="K92" s="18">
        <v>120</v>
      </c>
    </row>
    <row r="93" spans="9:22" x14ac:dyDescent="0.25">
      <c r="I93" t="s">
        <v>1265</v>
      </c>
      <c r="J93" s="5">
        <v>2496</v>
      </c>
      <c r="K93" s="18">
        <v>17</v>
      </c>
    </row>
    <row r="94" spans="9:22" x14ac:dyDescent="0.25">
      <c r="I94" t="s">
        <v>1266</v>
      </c>
      <c r="J94" s="5">
        <v>3014</v>
      </c>
      <c r="K94" s="18">
        <v>20</v>
      </c>
    </row>
    <row r="95" spans="9:22" x14ac:dyDescent="0.25">
      <c r="I95" t="s">
        <v>1267</v>
      </c>
      <c r="J95" s="5">
        <v>4124</v>
      </c>
      <c r="K95" s="18">
        <v>28</v>
      </c>
    </row>
    <row r="96" spans="9:22" x14ac:dyDescent="0.25">
      <c r="I96" t="s">
        <v>1268</v>
      </c>
      <c r="J96" s="5">
        <v>4974</v>
      </c>
      <c r="K96" s="18">
        <v>34</v>
      </c>
    </row>
    <row r="97" spans="9:11" x14ac:dyDescent="0.25">
      <c r="I97" t="s">
        <v>1269</v>
      </c>
      <c r="J97" s="5">
        <v>6205</v>
      </c>
      <c r="K97" s="18">
        <v>44</v>
      </c>
    </row>
    <row r="98" spans="9:11" x14ac:dyDescent="0.25">
      <c r="I98" t="s">
        <v>1270</v>
      </c>
      <c r="J98" s="5">
        <v>8007</v>
      </c>
      <c r="K98" s="18">
        <v>60</v>
      </c>
    </row>
    <row r="99" spans="9:11" x14ac:dyDescent="0.25">
      <c r="I99" t="s">
        <v>1271</v>
      </c>
      <c r="J99" s="5">
        <v>4128</v>
      </c>
      <c r="K99" s="18">
        <v>26</v>
      </c>
    </row>
    <row r="100" spans="9:11" x14ac:dyDescent="0.25">
      <c r="I100" t="s">
        <v>1272</v>
      </c>
      <c r="J100" s="5">
        <v>6176</v>
      </c>
      <c r="K100" s="18">
        <v>40</v>
      </c>
    </row>
    <row r="101" spans="9:11" x14ac:dyDescent="0.25">
      <c r="I101" t="s">
        <v>1273</v>
      </c>
      <c r="J101" s="5">
        <v>8114</v>
      </c>
      <c r="K101" s="18">
        <v>54</v>
      </c>
    </row>
    <row r="102" spans="9:11" x14ac:dyDescent="0.25">
      <c r="I102" t="s">
        <v>1274</v>
      </c>
      <c r="J102" s="5">
        <v>9949</v>
      </c>
      <c r="K102" s="18">
        <v>68</v>
      </c>
    </row>
    <row r="103" spans="9:11" x14ac:dyDescent="0.25">
      <c r="I103" t="s">
        <v>1275</v>
      </c>
      <c r="J103" s="5">
        <v>12052</v>
      </c>
      <c r="K103" s="18">
        <v>85</v>
      </c>
    </row>
    <row r="104" spans="9:11" x14ac:dyDescent="0.25">
      <c r="I104" t="s">
        <v>1276</v>
      </c>
      <c r="J104" s="5">
        <v>16013</v>
      </c>
      <c r="K104" s="18">
        <v>120</v>
      </c>
    </row>
    <row r="105" spans="9:11" x14ac:dyDescent="0.25">
      <c r="I105" t="s">
        <v>1277</v>
      </c>
      <c r="J105" s="5">
        <v>2571</v>
      </c>
      <c r="K105" s="18">
        <v>17</v>
      </c>
    </row>
    <row r="106" spans="9:11" x14ac:dyDescent="0.25">
      <c r="I106" t="s">
        <v>1278</v>
      </c>
      <c r="J106" s="5">
        <v>3104</v>
      </c>
      <c r="K106" s="18">
        <v>20</v>
      </c>
    </row>
    <row r="107" spans="9:11" x14ac:dyDescent="0.25">
      <c r="I107" t="s">
        <v>1279</v>
      </c>
      <c r="J107" s="5">
        <v>4248</v>
      </c>
      <c r="K107" s="18">
        <v>28</v>
      </c>
    </row>
    <row r="108" spans="9:11" x14ac:dyDescent="0.25">
      <c r="I108" t="s">
        <v>1280</v>
      </c>
      <c r="J108" s="5">
        <v>5124</v>
      </c>
      <c r="K108" s="18">
        <v>34</v>
      </c>
    </row>
    <row r="109" spans="9:11" x14ac:dyDescent="0.25">
      <c r="I109" t="s">
        <v>1281</v>
      </c>
      <c r="J109" s="5">
        <v>6391</v>
      </c>
      <c r="K109" s="18">
        <v>44</v>
      </c>
    </row>
    <row r="110" spans="9:11" x14ac:dyDescent="0.25">
      <c r="I110" t="s">
        <v>1282</v>
      </c>
      <c r="J110" s="5">
        <v>8247</v>
      </c>
      <c r="K110" s="18">
        <v>60</v>
      </c>
    </row>
    <row r="111" spans="9:11" x14ac:dyDescent="0.25">
      <c r="I111" t="s">
        <v>1283</v>
      </c>
      <c r="J111" s="5">
        <v>4252</v>
      </c>
      <c r="K111" s="18">
        <v>26</v>
      </c>
    </row>
    <row r="112" spans="9:11" x14ac:dyDescent="0.25">
      <c r="I112" t="s">
        <v>1284</v>
      </c>
      <c r="J112" s="5">
        <v>6362</v>
      </c>
      <c r="K112" s="18">
        <v>40</v>
      </c>
    </row>
    <row r="113" spans="9:11" x14ac:dyDescent="0.25">
      <c r="I113" t="s">
        <v>1285</v>
      </c>
      <c r="J113" s="5">
        <v>8357</v>
      </c>
      <c r="K113" s="18">
        <v>54</v>
      </c>
    </row>
    <row r="114" spans="9:11" x14ac:dyDescent="0.25">
      <c r="I114" t="s">
        <v>1286</v>
      </c>
      <c r="J114" s="5">
        <v>10247</v>
      </c>
      <c r="K114" s="18">
        <v>68</v>
      </c>
    </row>
    <row r="115" spans="9:11" x14ac:dyDescent="0.25">
      <c r="I115" t="s">
        <v>1287</v>
      </c>
      <c r="J115" s="5">
        <v>12413</v>
      </c>
      <c r="K115" s="18">
        <v>85</v>
      </c>
    </row>
    <row r="116" spans="9:11" x14ac:dyDescent="0.25">
      <c r="I116" t="s">
        <v>1288</v>
      </c>
      <c r="J116" s="5">
        <v>16494</v>
      </c>
      <c r="K116" s="18">
        <v>120</v>
      </c>
    </row>
  </sheetData>
  <sheetProtection algorithmName="SHA-512" hashValue="SYJ2gx+8VUMKSOFI+DitnQcMTLfTi/7TaILcdeenAMMhm8PzMGnqvbMORLIHHuUomXPm/STsXl48+VxB9Bj6IA==" saltValue="aDOefS4B2HjPouhuHUUrSw==" spinCount="100000" sheet="1" objects="1" scenarios="1" selectLockedCells="1"/>
  <mergeCells count="4">
    <mergeCell ref="BI5:BK5"/>
    <mergeCell ref="BI6:BK6"/>
    <mergeCell ref="BI7:BK7"/>
    <mergeCell ref="A52:D55"/>
  </mergeCells>
  <conditionalFormatting sqref="C44">
    <cfRule type="cellIs" dxfId="33" priority="2" operator="greaterThan">
      <formula>$F$44</formula>
    </cfRule>
  </conditionalFormatting>
  <conditionalFormatting sqref="C45">
    <cfRule type="cellIs" dxfId="32" priority="1" operator="greaterThan">
      <formula>$F$45</formula>
    </cfRule>
  </conditionalFormatting>
  <dataValidations count="4">
    <dataValidation type="list" allowBlank="1" showInputMessage="1" showErrorMessage="1" sqref="C43" xr:uid="{BE053717-54CF-4048-A791-3B58392D57D0}">
      <formula1>$V$81:$V$82</formula1>
    </dataValidation>
    <dataValidation type="list" allowBlank="1" showInputMessage="1" showErrorMessage="1" sqref="C18" xr:uid="{AFAB15E7-25DC-4357-8993-432F405A9886}">
      <formula1>$O$81:$O$83</formula1>
    </dataValidation>
    <dataValidation type="list" allowBlank="1" showInputMessage="1" showErrorMessage="1" sqref="C17" xr:uid="{D95FA24E-526F-4825-B1CA-023682596287}">
      <formula1>$N$81:$N$85</formula1>
    </dataValidation>
    <dataValidation type="list" allowBlank="1" showInputMessage="1" showErrorMessage="1" sqref="C21" xr:uid="{757D7E45-0943-496F-A303-3E6E1C4CECEF}">
      <formula1>$I$81:$I$116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360EF-8275-4A63-BB12-5F1305A83CD3}">
  <sheetPr>
    <pageSetUpPr fitToPage="1"/>
  </sheetPr>
  <dimension ref="A5:BK98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6" customWidth="1"/>
    <col min="3" max="3" width="25.425781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1348</v>
      </c>
      <c r="BH7" s="5" t="s">
        <v>1345</v>
      </c>
      <c r="BI7" s="37"/>
      <c r="BJ7" s="37"/>
      <c r="BK7" s="37"/>
    </row>
    <row r="8" spans="1:63" x14ac:dyDescent="0.25">
      <c r="A8" s="10" t="s">
        <v>1349</v>
      </c>
    </row>
    <row r="9" spans="1:63" x14ac:dyDescent="0.25">
      <c r="I9" s="6">
        <v>4</v>
      </c>
      <c r="Z9" s="2">
        <v>2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118</v>
      </c>
      <c r="K13">
        <v>118</v>
      </c>
      <c r="L13">
        <v>118</v>
      </c>
      <c r="M13">
        <v>114</v>
      </c>
      <c r="N13">
        <v>114</v>
      </c>
      <c r="O13">
        <v>114</v>
      </c>
      <c r="P13">
        <v>108</v>
      </c>
      <c r="Q13">
        <v>108</v>
      </c>
      <c r="R13">
        <v>108</v>
      </c>
      <c r="S13">
        <v>102</v>
      </c>
      <c r="T13">
        <v>102</v>
      </c>
      <c r="U13">
        <v>102</v>
      </c>
      <c r="V13">
        <v>97</v>
      </c>
      <c r="W13">
        <v>97</v>
      </c>
      <c r="X13">
        <v>97</v>
      </c>
      <c r="Z13">
        <v>0</v>
      </c>
      <c r="AA13">
        <v>118</v>
      </c>
      <c r="AB13">
        <v>118</v>
      </c>
      <c r="AC13">
        <v>118</v>
      </c>
      <c r="AD13">
        <v>114</v>
      </c>
      <c r="AE13">
        <v>114</v>
      </c>
      <c r="AF13">
        <v>114</v>
      </c>
      <c r="AG13">
        <v>108</v>
      </c>
      <c r="AH13">
        <v>108</v>
      </c>
      <c r="AI13">
        <v>108</v>
      </c>
      <c r="AJ13">
        <v>102</v>
      </c>
      <c r="AK13">
        <v>102</v>
      </c>
      <c r="AL13">
        <v>102</v>
      </c>
      <c r="AM13">
        <v>97</v>
      </c>
      <c r="AN13">
        <v>97</v>
      </c>
      <c r="AO13">
        <v>97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103</v>
      </c>
      <c r="K14">
        <v>99</v>
      </c>
      <c r="L14">
        <v>95</v>
      </c>
      <c r="M14">
        <v>100</v>
      </c>
      <c r="N14">
        <v>96</v>
      </c>
      <c r="O14">
        <v>93</v>
      </c>
      <c r="P14">
        <v>95</v>
      </c>
      <c r="Q14">
        <v>92</v>
      </c>
      <c r="R14">
        <v>89</v>
      </c>
      <c r="S14">
        <v>90</v>
      </c>
      <c r="T14">
        <v>87</v>
      </c>
      <c r="U14">
        <v>85</v>
      </c>
      <c r="V14">
        <v>85</v>
      </c>
      <c r="W14">
        <v>83</v>
      </c>
      <c r="X14">
        <v>82</v>
      </c>
      <c r="Z14">
        <v>1</v>
      </c>
      <c r="AA14">
        <v>103</v>
      </c>
      <c r="AB14">
        <v>99</v>
      </c>
      <c r="AC14">
        <v>95</v>
      </c>
      <c r="AD14">
        <v>100</v>
      </c>
      <c r="AE14">
        <v>96</v>
      </c>
      <c r="AF14">
        <v>93</v>
      </c>
      <c r="AG14">
        <v>95</v>
      </c>
      <c r="AH14">
        <v>92</v>
      </c>
      <c r="AI14">
        <v>89</v>
      </c>
      <c r="AJ14">
        <v>90</v>
      </c>
      <c r="AK14">
        <v>88</v>
      </c>
      <c r="AL14">
        <v>85</v>
      </c>
      <c r="AM14">
        <v>86</v>
      </c>
      <c r="AN14">
        <v>84</v>
      </c>
      <c r="AO14">
        <v>82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84</v>
      </c>
      <c r="L15">
        <v>78</v>
      </c>
      <c r="M15">
        <v>88</v>
      </c>
      <c r="N15">
        <v>82</v>
      </c>
      <c r="O15">
        <v>77</v>
      </c>
      <c r="P15">
        <v>83</v>
      </c>
      <c r="Q15">
        <v>78</v>
      </c>
      <c r="R15">
        <v>74</v>
      </c>
      <c r="S15">
        <v>79</v>
      </c>
      <c r="T15">
        <v>75</v>
      </c>
      <c r="U15">
        <v>71</v>
      </c>
      <c r="V15">
        <v>75</v>
      </c>
      <c r="W15">
        <v>72</v>
      </c>
      <c r="X15">
        <v>69</v>
      </c>
      <c r="Z15">
        <v>2</v>
      </c>
      <c r="AA15">
        <v>90</v>
      </c>
      <c r="AB15">
        <v>84</v>
      </c>
      <c r="AC15">
        <v>78</v>
      </c>
      <c r="AD15">
        <v>88</v>
      </c>
      <c r="AE15">
        <v>82</v>
      </c>
      <c r="AF15">
        <v>77</v>
      </c>
      <c r="AG15">
        <v>84</v>
      </c>
      <c r="AH15">
        <v>79</v>
      </c>
      <c r="AI15">
        <v>74</v>
      </c>
      <c r="AJ15">
        <v>80</v>
      </c>
      <c r="AK15">
        <v>75</v>
      </c>
      <c r="AL15">
        <v>72</v>
      </c>
      <c r="AM15">
        <v>76</v>
      </c>
      <c r="AN15">
        <v>72</v>
      </c>
      <c r="AO15">
        <v>69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65</v>
      </c>
      <c r="M16">
        <v>78</v>
      </c>
      <c r="N16">
        <v>70</v>
      </c>
      <c r="O16">
        <v>64</v>
      </c>
      <c r="P16">
        <v>74</v>
      </c>
      <c r="Q16">
        <v>68</v>
      </c>
      <c r="R16">
        <v>63</v>
      </c>
      <c r="S16">
        <v>70</v>
      </c>
      <c r="T16">
        <v>65</v>
      </c>
      <c r="U16">
        <v>61</v>
      </c>
      <c r="V16">
        <v>67</v>
      </c>
      <c r="W16">
        <v>63</v>
      </c>
      <c r="X16">
        <v>59</v>
      </c>
      <c r="Z16">
        <v>3</v>
      </c>
      <c r="AA16">
        <v>80</v>
      </c>
      <c r="AB16">
        <v>72</v>
      </c>
      <c r="AC16">
        <v>66</v>
      </c>
      <c r="AD16">
        <v>78</v>
      </c>
      <c r="AE16">
        <v>71</v>
      </c>
      <c r="AF16">
        <v>65</v>
      </c>
      <c r="AG16">
        <v>74</v>
      </c>
      <c r="AH16">
        <v>68</v>
      </c>
      <c r="AI16">
        <v>63</v>
      </c>
      <c r="AJ16">
        <v>71</v>
      </c>
      <c r="AK16">
        <v>66</v>
      </c>
      <c r="AL16">
        <v>61</v>
      </c>
      <c r="AM16">
        <v>68</v>
      </c>
      <c r="AN16">
        <v>63</v>
      </c>
      <c r="AO16">
        <v>59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71</v>
      </c>
      <c r="K17">
        <v>62</v>
      </c>
      <c r="L17">
        <v>56</v>
      </c>
      <c r="M17">
        <v>69</v>
      </c>
      <c r="N17">
        <v>61</v>
      </c>
      <c r="O17">
        <v>55</v>
      </c>
      <c r="P17">
        <v>66</v>
      </c>
      <c r="Q17">
        <v>59</v>
      </c>
      <c r="R17">
        <v>54</v>
      </c>
      <c r="S17">
        <v>63</v>
      </c>
      <c r="T17">
        <v>57</v>
      </c>
      <c r="U17">
        <v>52</v>
      </c>
      <c r="V17">
        <v>60</v>
      </c>
      <c r="W17">
        <v>55</v>
      </c>
      <c r="X17">
        <v>51</v>
      </c>
      <c r="Z17">
        <v>4</v>
      </c>
      <c r="AA17">
        <v>71</v>
      </c>
      <c r="AB17">
        <v>63</v>
      </c>
      <c r="AC17">
        <v>56</v>
      </c>
      <c r="AD17">
        <v>69</v>
      </c>
      <c r="AE17">
        <v>62</v>
      </c>
      <c r="AF17">
        <v>55</v>
      </c>
      <c r="AG17">
        <v>66</v>
      </c>
      <c r="AH17">
        <v>60</v>
      </c>
      <c r="AI17">
        <v>54</v>
      </c>
      <c r="AJ17">
        <v>63</v>
      </c>
      <c r="AK17">
        <v>58</v>
      </c>
      <c r="AL17">
        <v>53</v>
      </c>
      <c r="AM17">
        <v>61</v>
      </c>
      <c r="AN17">
        <v>56</v>
      </c>
      <c r="AO17">
        <v>52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64</v>
      </c>
      <c r="K18">
        <v>55</v>
      </c>
      <c r="L18">
        <v>48</v>
      </c>
      <c r="M18">
        <v>62</v>
      </c>
      <c r="N18">
        <v>54</v>
      </c>
      <c r="O18">
        <v>48</v>
      </c>
      <c r="P18">
        <v>59</v>
      </c>
      <c r="Q18">
        <v>52</v>
      </c>
      <c r="R18">
        <v>47</v>
      </c>
      <c r="S18">
        <v>57</v>
      </c>
      <c r="T18">
        <v>51</v>
      </c>
      <c r="U18">
        <v>46</v>
      </c>
      <c r="V18">
        <v>54</v>
      </c>
      <c r="W18">
        <v>49</v>
      </c>
      <c r="X18">
        <v>45</v>
      </c>
      <c r="Z18">
        <v>5</v>
      </c>
      <c r="AA18">
        <v>64</v>
      </c>
      <c r="AB18">
        <v>55</v>
      </c>
      <c r="AC18">
        <v>49</v>
      </c>
      <c r="AD18">
        <v>62</v>
      </c>
      <c r="AE18">
        <v>54</v>
      </c>
      <c r="AF18">
        <v>48</v>
      </c>
      <c r="AG18">
        <v>60</v>
      </c>
      <c r="AH18">
        <v>53</v>
      </c>
      <c r="AI18">
        <v>47</v>
      </c>
      <c r="AJ18">
        <v>57</v>
      </c>
      <c r="AK18">
        <v>51</v>
      </c>
      <c r="AL18">
        <v>46</v>
      </c>
      <c r="AM18">
        <v>55</v>
      </c>
      <c r="AN18">
        <v>50</v>
      </c>
      <c r="AO18">
        <v>45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57</v>
      </c>
      <c r="K19">
        <v>49</v>
      </c>
      <c r="L19">
        <v>42</v>
      </c>
      <c r="M19">
        <v>56</v>
      </c>
      <c r="N19">
        <v>48</v>
      </c>
      <c r="O19">
        <v>42</v>
      </c>
      <c r="P19">
        <v>54</v>
      </c>
      <c r="Q19">
        <v>47</v>
      </c>
      <c r="R19">
        <v>41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40</v>
      </c>
      <c r="Z19">
        <v>6</v>
      </c>
      <c r="AA19">
        <v>58</v>
      </c>
      <c r="AB19">
        <v>49</v>
      </c>
      <c r="AC19">
        <v>43</v>
      </c>
      <c r="AD19">
        <v>56</v>
      </c>
      <c r="AE19">
        <v>48</v>
      </c>
      <c r="AF19">
        <v>42</v>
      </c>
      <c r="AG19">
        <v>54</v>
      </c>
      <c r="AH19">
        <v>47</v>
      </c>
      <c r="AI19">
        <v>42</v>
      </c>
      <c r="AJ19">
        <v>52</v>
      </c>
      <c r="AK19">
        <v>46</v>
      </c>
      <c r="AL19">
        <v>41</v>
      </c>
      <c r="AM19">
        <v>50</v>
      </c>
      <c r="AN19">
        <v>44</v>
      </c>
      <c r="AO19">
        <v>40</v>
      </c>
      <c r="AQ19">
        <v>6</v>
      </c>
    </row>
    <row r="20" spans="1:63" x14ac:dyDescent="0.25">
      <c r="I20">
        <v>7</v>
      </c>
      <c r="J20">
        <v>52</v>
      </c>
      <c r="K20">
        <v>44</v>
      </c>
      <c r="L20">
        <v>38</v>
      </c>
      <c r="M20">
        <v>51</v>
      </c>
      <c r="N20">
        <v>43</v>
      </c>
      <c r="O20">
        <v>37</v>
      </c>
      <c r="P20">
        <v>49</v>
      </c>
      <c r="Q20">
        <v>42</v>
      </c>
      <c r="R20">
        <v>37</v>
      </c>
      <c r="S20">
        <v>47</v>
      </c>
      <c r="T20">
        <v>41</v>
      </c>
      <c r="U20">
        <v>36</v>
      </c>
      <c r="V20">
        <v>45</v>
      </c>
      <c r="W20">
        <v>40</v>
      </c>
      <c r="X20">
        <v>35</v>
      </c>
      <c r="Z20">
        <v>7</v>
      </c>
      <c r="AA20">
        <v>52</v>
      </c>
      <c r="AB20">
        <v>44</v>
      </c>
      <c r="AC20">
        <v>38</v>
      </c>
      <c r="AD20">
        <v>51</v>
      </c>
      <c r="AE20">
        <v>43</v>
      </c>
      <c r="AF20">
        <v>38</v>
      </c>
      <c r="AG20">
        <v>49</v>
      </c>
      <c r="AH20">
        <v>42</v>
      </c>
      <c r="AI20">
        <v>37</v>
      </c>
      <c r="AJ20">
        <v>48</v>
      </c>
      <c r="AK20">
        <v>41</v>
      </c>
      <c r="AL20">
        <v>36</v>
      </c>
      <c r="AM20">
        <v>46</v>
      </c>
      <c r="AN20">
        <v>40</v>
      </c>
      <c r="AO20">
        <v>36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>
        <f>IF(ISNUMBER(SEARCH("U 4",C21)),4,2)</f>
        <v>2</v>
      </c>
      <c r="I21">
        <v>8</v>
      </c>
      <c r="J21">
        <v>48</v>
      </c>
      <c r="K21">
        <v>39</v>
      </c>
      <c r="L21">
        <v>34</v>
      </c>
      <c r="M21">
        <v>47</v>
      </c>
      <c r="N21">
        <v>39</v>
      </c>
      <c r="O21">
        <v>33</v>
      </c>
      <c r="P21">
        <v>45</v>
      </c>
      <c r="Q21">
        <v>38</v>
      </c>
      <c r="R21">
        <v>33</v>
      </c>
      <c r="S21">
        <v>43</v>
      </c>
      <c r="T21">
        <v>37</v>
      </c>
      <c r="U21">
        <v>32</v>
      </c>
      <c r="V21">
        <v>42</v>
      </c>
      <c r="W21">
        <v>36</v>
      </c>
      <c r="X21">
        <v>32</v>
      </c>
      <c r="Z21">
        <v>8</v>
      </c>
      <c r="AA21">
        <v>48</v>
      </c>
      <c r="AB21">
        <v>40</v>
      </c>
      <c r="AC21">
        <v>34</v>
      </c>
      <c r="AD21">
        <v>47</v>
      </c>
      <c r="AE21">
        <v>39</v>
      </c>
      <c r="AF21">
        <v>34</v>
      </c>
      <c r="AG21">
        <v>45</v>
      </c>
      <c r="AH21">
        <v>38</v>
      </c>
      <c r="AI21">
        <v>33</v>
      </c>
      <c r="AJ21">
        <v>44</v>
      </c>
      <c r="AK21">
        <v>37</v>
      </c>
      <c r="AL21">
        <v>33</v>
      </c>
      <c r="AM21">
        <v>42</v>
      </c>
      <c r="AN21">
        <v>36</v>
      </c>
      <c r="AO21">
        <v>32</v>
      </c>
      <c r="AQ21">
        <v>8</v>
      </c>
    </row>
    <row r="22" spans="1:63" x14ac:dyDescent="0.25">
      <c r="B22" t="s">
        <v>30</v>
      </c>
      <c r="C22" s="4" t="e">
        <f>VLOOKUP(C21,Model52393[],2,0)</f>
        <v>#N/A</v>
      </c>
      <c r="D22" t="s">
        <v>131</v>
      </c>
      <c r="I22">
        <v>9</v>
      </c>
      <c r="J22">
        <v>44</v>
      </c>
      <c r="K22">
        <v>36</v>
      </c>
      <c r="L22">
        <v>30</v>
      </c>
      <c r="M22">
        <v>43</v>
      </c>
      <c r="N22">
        <v>35</v>
      </c>
      <c r="O22">
        <v>30</v>
      </c>
      <c r="P22">
        <v>41</v>
      </c>
      <c r="Q22">
        <v>35</v>
      </c>
      <c r="R22">
        <v>30</v>
      </c>
      <c r="S22">
        <v>40</v>
      </c>
      <c r="T22">
        <v>34</v>
      </c>
      <c r="U22">
        <v>29</v>
      </c>
      <c r="V22">
        <v>39</v>
      </c>
      <c r="W22">
        <v>33</v>
      </c>
      <c r="X22">
        <v>29</v>
      </c>
      <c r="Z22">
        <v>9</v>
      </c>
      <c r="AA22">
        <v>44</v>
      </c>
      <c r="AB22">
        <v>36</v>
      </c>
      <c r="AC22">
        <v>31</v>
      </c>
      <c r="AD22">
        <v>43</v>
      </c>
      <c r="AE22">
        <v>36</v>
      </c>
      <c r="AF22">
        <v>31</v>
      </c>
      <c r="AG22">
        <v>42</v>
      </c>
      <c r="AH22">
        <v>35</v>
      </c>
      <c r="AI22">
        <v>30</v>
      </c>
      <c r="AJ22">
        <v>40</v>
      </c>
      <c r="AK22">
        <v>34</v>
      </c>
      <c r="AL22">
        <v>30</v>
      </c>
      <c r="AM22">
        <v>39</v>
      </c>
      <c r="AN22">
        <v>33</v>
      </c>
      <c r="AO22">
        <v>29</v>
      </c>
      <c r="AQ22">
        <v>9</v>
      </c>
    </row>
    <row r="23" spans="1:63" x14ac:dyDescent="0.25">
      <c r="B23" t="s">
        <v>31</v>
      </c>
      <c r="C23" t="e">
        <f>VLOOKUP(C21,Model52393[],3,FALSE)</f>
        <v>#N/A</v>
      </c>
      <c r="D23" t="s">
        <v>132</v>
      </c>
      <c r="I23">
        <v>10</v>
      </c>
      <c r="J23">
        <v>40</v>
      </c>
      <c r="K23">
        <v>33</v>
      </c>
      <c r="L23">
        <v>28</v>
      </c>
      <c r="M23">
        <v>40</v>
      </c>
      <c r="N23">
        <v>32</v>
      </c>
      <c r="O23">
        <v>27</v>
      </c>
      <c r="P23">
        <v>38</v>
      </c>
      <c r="Q23">
        <v>32</v>
      </c>
      <c r="R23">
        <v>27</v>
      </c>
      <c r="S23">
        <v>37</v>
      </c>
      <c r="T23">
        <v>31</v>
      </c>
      <c r="U23">
        <v>27</v>
      </c>
      <c r="V23">
        <v>36</v>
      </c>
      <c r="W23">
        <v>30</v>
      </c>
      <c r="X23">
        <v>26</v>
      </c>
      <c r="Z23">
        <v>10</v>
      </c>
      <c r="AA23">
        <v>41</v>
      </c>
      <c r="AB23">
        <v>33</v>
      </c>
      <c r="AC23">
        <v>28</v>
      </c>
      <c r="AD23">
        <v>40</v>
      </c>
      <c r="AE23">
        <v>33</v>
      </c>
      <c r="AF23">
        <v>28</v>
      </c>
      <c r="AG23">
        <v>39</v>
      </c>
      <c r="AH23">
        <v>32</v>
      </c>
      <c r="AI23">
        <v>27</v>
      </c>
      <c r="AJ23">
        <v>37</v>
      </c>
      <c r="AK23">
        <v>31</v>
      </c>
      <c r="AL23">
        <v>27</v>
      </c>
      <c r="AM23">
        <v>36</v>
      </c>
      <c r="AN23">
        <v>31</v>
      </c>
      <c r="AO23">
        <v>27</v>
      </c>
      <c r="AQ23">
        <v>10</v>
      </c>
    </row>
    <row r="24" spans="1:63" x14ac:dyDescent="0.25">
      <c r="B24" t="s">
        <v>3</v>
      </c>
      <c r="C24" s="11" t="e">
        <f t="array" ref="C24">INDEX(CUtable42292[],MATCH(1,(CUtable42292[RC]=C17)*(CUtable42292[RW]=C18)*(CUtable42292[Size]=E21),0),4)</f>
        <v>#DIV/0!</v>
      </c>
      <c r="H24" s="5"/>
    </row>
    <row r="25" spans="1:63" x14ac:dyDescent="0.25">
      <c r="B25" t="s">
        <v>133</v>
      </c>
      <c r="C25" s="11">
        <f>VLOOKUP(E21,Table812172797[],2,FALSE)</f>
        <v>1.2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VLOOKUP(E21,Table812172797[],3,FALSE)</f>
        <v>1.2</v>
      </c>
      <c r="H26" s="5"/>
      <c r="I26" t="s">
        <v>218</v>
      </c>
      <c r="J26">
        <f>INDEX(LINEST(TablePBL91[CU],TablePBL91[RCR]^{1,2,3}),1)</f>
        <v>-4.3123543123543259E-2</v>
      </c>
      <c r="K26">
        <f>INDEX(LINEST(TablePBL91[CU1],TablePBL91[RCR]^{1,2,3}),1)</f>
        <v>-6.9153069153069485E-2</v>
      </c>
      <c r="L26">
        <f>INDEX(LINEST(TablePBL91[CU2],TablePBL91[RCR]^{1,2,3}),1)</f>
        <v>-0.10198135198135268</v>
      </c>
      <c r="M26">
        <f>INDEX(LINEST(TablePBL91[CU3],TablePBL91[RCR]^{1,2,3}),1)</f>
        <v>-3.3605283605283927E-2</v>
      </c>
      <c r="N26">
        <f>INDEX(LINEST(TablePBL91[CU4],TablePBL91[RCR]^{1,2,3}),1)</f>
        <v>-6.7016317016317314E-2</v>
      </c>
      <c r="O26">
        <f>INDEX(LINEST(TablePBL91[CU5],TablePBL91[RCR]^{1,2,3}),1)</f>
        <v>-8.9549339549339704E-2</v>
      </c>
      <c r="P26">
        <f>INDEX(LINEST(TablePBL91[CU6],TablePBL91[RCR]^{1,2,3}),1)</f>
        <v>-3.8267288267288396E-2</v>
      </c>
      <c r="Q26">
        <f>INDEX(LINEST(TablePBL91[CU7],TablePBL91[RCR]^{1,2,3}),1)</f>
        <v>-5.6721056721056852E-2</v>
      </c>
      <c r="R26">
        <f>INDEX(LINEST(TablePBL91[CU8],TablePBL91[RCR]^{1,2,3}),1)</f>
        <v>-7.6534576534576848E-2</v>
      </c>
      <c r="S26">
        <f>INDEX(LINEST(TablePBL91[CU9],TablePBL91[RCR]^{1,2,3}),1)</f>
        <v>-3.3993783993784235E-2</v>
      </c>
      <c r="T26">
        <f>INDEX(LINEST(TablePBL91[CU10],TablePBL91[RCR]^{1,2,3}),1)</f>
        <v>-4.9728049728050117E-2</v>
      </c>
      <c r="U26">
        <f>INDEX(LINEST(TablePBL91[CU11],TablePBL91[RCR]^{1,2,3}),1)</f>
        <v>-6.0800310800311279E-2</v>
      </c>
      <c r="V26">
        <f>INDEX(LINEST(TablePBL91[CU12],TablePBL91[RCR]^{1,2,3}),1)</f>
        <v>-3.5353535353535616E-2</v>
      </c>
      <c r="W26">
        <f>INDEX(LINEST(TablePBL91[CU13],TablePBL91[RCR]^{1,2,3}),1)</f>
        <v>-4.5648795648795877E-2</v>
      </c>
      <c r="X26">
        <f>INDEX(LINEST(TablePBL91[CU14],TablePBL91[RCR]^{1,2,3}),1)</f>
        <v>-5.6721056721056831E-2</v>
      </c>
      <c r="Z26" t="s">
        <v>218</v>
      </c>
      <c r="AA26">
        <f>INDEX(LINEST(TablePBLFR98[CU],TablePBLFR98[RCR]^{1,2,3}),1)</f>
        <v>-4.0015540015540516E-2</v>
      </c>
      <c r="AB26">
        <f>INDEX(LINEST(TablePBLFR98[CU1],TablePBLFR98[RCR]^{1,2,3}),1)</f>
        <v>-7.0707070707071037E-2</v>
      </c>
      <c r="AC26">
        <f>INDEX(LINEST(TablePBLFR98[CU2],TablePBLFR98[RCR]^{1,2,3}),1)</f>
        <v>-0.10139860139860177</v>
      </c>
      <c r="AD26">
        <f>INDEX(LINEST(TablePBLFR98[CU3],TablePBLFR98[RCR]^{1,2,3}),1)</f>
        <v>-3.3605283605283927E-2</v>
      </c>
      <c r="AE26">
        <f>INDEX(LINEST(TablePBLFR98[CU4],TablePBLFR98[RCR]^{1,2,3}),1)</f>
        <v>-5.5167055167055508E-2</v>
      </c>
      <c r="AF26">
        <f>INDEX(LINEST(TablePBLFR98[CU5],TablePBLFR98[RCR]^{1,2,3}),1)</f>
        <v>-8.9160839160839445E-2</v>
      </c>
      <c r="AG26">
        <f>INDEX(LINEST(TablePBLFR98[CU6],TablePBLFR98[RCR]^{1,2,3}),1)</f>
        <v>-2.9331779331779585E-2</v>
      </c>
      <c r="AH26">
        <f>INDEX(LINEST(TablePBLFR98[CU7],TablePBLFR98[RCR]^{1,2,3}),1)</f>
        <v>-4.9728049728050089E-2</v>
      </c>
      <c r="AI26">
        <f>INDEX(LINEST(TablePBLFR98[CU8],TablePBLFR98[RCR]^{1,2,3}),1)</f>
        <v>-7.9254079254079637E-2</v>
      </c>
      <c r="AJ26">
        <f>INDEX(LINEST(TablePBLFR98[CU9],TablePBLFR98[RCR]^{1,2,3}),1)</f>
        <v>-3.3993783993784117E-2</v>
      </c>
      <c r="AK26">
        <f>INDEX(LINEST(TablePBLFR98[CU10],TablePBLFR98[RCR]^{1,2,3}),1)</f>
        <v>-4.4094794094794235E-2</v>
      </c>
      <c r="AL26">
        <f>INDEX(LINEST(TablePBLFR98[CU11],TablePBLFR98[RCR]^{1,2,3}),1)</f>
        <v>-6.196581196581237E-2</v>
      </c>
      <c r="AM26">
        <f>INDEX(LINEST(TablePBLFR98[CU12],TablePBLFR98[RCR]^{1,2,3}),1)</f>
        <v>-2.719502719502747E-2</v>
      </c>
      <c r="AN26">
        <f>INDEX(LINEST(TablePBLFR98[CU13],TablePBLFR98[RCR]^{1,2,3}),1)</f>
        <v>-3.5936285936286248E-2</v>
      </c>
      <c r="AO26">
        <f>INDEX(LINEST(TablePBLFR98[CU14],TablePBLFR98[RCR]^{1,2,3}),1)</f>
        <v>-5.2641802641802869E-2</v>
      </c>
      <c r="AQ26" t="s">
        <v>218</v>
      </c>
      <c r="AR26" t="e">
        <f>INDEX(LINEST(Table1x430100[CU],Table1x430100[RCR]^{1,2,3}),1)</f>
        <v>#VALUE!</v>
      </c>
      <c r="AS26" t="e">
        <f>INDEX(LINEST(Table1x430100[CU1],Table1x430100[RCR]^{1,2,3}),1)</f>
        <v>#VALUE!</v>
      </c>
      <c r="AT26" t="e">
        <f>INDEX(LINEST(Table1x430100[CU2],Table1x430100[RCR]^{1,2,3}),1)</f>
        <v>#VALUE!</v>
      </c>
      <c r="AU26" t="e">
        <f>INDEX(LINEST(Table1x430100[CU3],Table1x430100[RCR]^{1,2,3}),1)</f>
        <v>#VALUE!</v>
      </c>
      <c r="AV26" t="e">
        <f>INDEX(LINEST(Table1x430100[CU4],Table1x430100[RCR]^{1,2,3}),1)</f>
        <v>#VALUE!</v>
      </c>
      <c r="AW26" t="e">
        <f>INDEX(LINEST(Table1x430100[CU5],Table1x430100[RCR]^{1,2,3}),1)</f>
        <v>#VALUE!</v>
      </c>
      <c r="AX26" t="e">
        <f>INDEX(LINEST(Table1x430100[CU6],Table1x430100[RCR]^{1,2,3}),1)</f>
        <v>#VALUE!</v>
      </c>
      <c r="AY26" t="e">
        <f>INDEX(LINEST(Table1x430100[CU7],Table1x430100[RCR]^{1,2,3}),1)</f>
        <v>#VALUE!</v>
      </c>
      <c r="AZ26" t="e">
        <f>INDEX(LINEST(Table1x430100[CU8],Table1x430100[RCR]^{1,2,3}),1)</f>
        <v>#VALUE!</v>
      </c>
      <c r="BA26" t="e">
        <f>INDEX(LINEST(Table1x430100[CU9],Table1x430100[RCR]^{1,2,3}),1)</f>
        <v>#VALUE!</v>
      </c>
      <c r="BB26" t="e">
        <f>INDEX(LINEST(Table1x430100[CU10],Table1x430100[RCR]^{1,2,3}),1)</f>
        <v>#VALUE!</v>
      </c>
      <c r="BC26" t="e">
        <f>INDEX(LINEST(Table1x430100[CU11],Table1x430100[RCR]^{1,2,3}),1)</f>
        <v>#VALUE!</v>
      </c>
      <c r="BD26" t="e">
        <f>INDEX(LINEST(Table1x430100[CU12],Table1x430100[RCR]^{1,2,3}),1)</f>
        <v>#VALUE!</v>
      </c>
      <c r="BE26" t="e">
        <f>INDEX(LINEST(Table1x430100[CU13],Table1x430100[RCR]^{1,2,3}),1)</f>
        <v>#VALUE!</v>
      </c>
      <c r="BF26" t="e">
        <f>INDEX(LINEST(Table1x430100[CU14],Table1x430100[RCR]^{1,2,3}),1)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INDEX(LINEST(TablePBL91[CU],TablePBL91[RCR]^{1,2,3}),1,2)</f>
        <v>1.2645687645687658</v>
      </c>
      <c r="K27">
        <f>INDEX(LINEST(TablePBL91[CU1],TablePBL91[RCR]^{1,2,3}),1,2)</f>
        <v>1.8613053613053663</v>
      </c>
      <c r="L27">
        <f>INDEX(LINEST(TablePBL91[CU2],TablePBL91[RCR]^{1,2,3}),1,2)</f>
        <v>2.5180652680652775</v>
      </c>
      <c r="M27">
        <f>INDEX(LINEST(TablePBL91[CU3],TablePBL91[RCR]^{1,2,3}),1,2)</f>
        <v>1.1031468531468571</v>
      </c>
      <c r="N27">
        <f>INDEX(LINEST(TablePBL91[CU4],TablePBL91[RCR]^{1,2,3}),1,2)</f>
        <v>1.7698135198135245</v>
      </c>
      <c r="O27">
        <f>INDEX(LINEST(TablePBL91[CU5],TablePBL91[RCR]^{1,2,3}),1,2)</f>
        <v>2.256993006993008</v>
      </c>
      <c r="P27">
        <f>INDEX(LINEST(TablePBL91[CU6],TablePBL91[RCR]^{1,2,3}),1,2)</f>
        <v>1.1217948717948727</v>
      </c>
      <c r="Q27">
        <f>INDEX(LINEST(TablePBL91[CU7],TablePBL91[RCR]^{1,2,3}),1,2)</f>
        <v>1.5641025641025652</v>
      </c>
      <c r="R27">
        <f>INDEX(LINEST(TablePBL91[CU8],TablePBL91[RCR]^{1,2,3}),1,2)</f>
        <v>1.9720279720279767</v>
      </c>
      <c r="S27">
        <f>INDEX(LINEST(TablePBL91[CU9],TablePBL91[RCR]^{1,2,3}),1,2)</f>
        <v>1.018065268065272</v>
      </c>
      <c r="T27">
        <f>INDEX(LINEST(TablePBL91[CU10],TablePBL91[RCR]^{1,2,3}),1,2)</f>
        <v>1.3811188811188866</v>
      </c>
      <c r="U27">
        <f>INDEX(LINEST(TablePBL91[CU11],TablePBL91[RCR]^{1,2,3}),1,2)</f>
        <v>1.6649184149184217</v>
      </c>
      <c r="V27">
        <f>INDEX(LINEST(TablePBL91[CU12],TablePBL91[RCR]^{1,2,3}),1,2)</f>
        <v>1.0198135198135234</v>
      </c>
      <c r="W27">
        <f>INDEX(LINEST(TablePBL91[CU13],TablePBL91[RCR]^{1,2,3}),1,2)</f>
        <v>1.2604895104895137</v>
      </c>
      <c r="X27">
        <f>INDEX(LINEST(TablePBL91[CU14],TablePBL91[RCR]^{1,2,3}),1,2)</f>
        <v>1.5233100233100239</v>
      </c>
      <c r="Z27" t="s">
        <v>219</v>
      </c>
      <c r="AA27">
        <f>INDEX(LINEST(TablePBLFR98[CU],TablePBLFR98[RCR]^{1,2,3}),1,2)</f>
        <v>1.2249417249417325</v>
      </c>
      <c r="AB27">
        <f>INDEX(LINEST(TablePBLFR98[CU1],TablePBLFR98[RCR]^{1,2,3}),1,2)</f>
        <v>1.8729603729603772</v>
      </c>
      <c r="AC27">
        <f>INDEX(LINEST(TablePBLFR98[CU2],TablePBLFR98[RCR]^{1,2,3}),1,2)</f>
        <v>2.4871794871794921</v>
      </c>
      <c r="AD27">
        <f>INDEX(LINEST(TablePBLFR98[CU3],TablePBLFR98[RCR]^{1,2,3}),1,2)</f>
        <v>1.1031468531468571</v>
      </c>
      <c r="AE27">
        <f>INDEX(LINEST(TablePBLFR98[CU4],TablePBLFR98[RCR]^{1,2,3}),1,2)</f>
        <v>1.5990675990676038</v>
      </c>
      <c r="AF27">
        <f>INDEX(LINEST(TablePBLFR98[CU5],TablePBLFR98[RCR]^{1,2,3}),1,2)</f>
        <v>2.2604895104895144</v>
      </c>
      <c r="AG27">
        <f>INDEX(LINEST(TablePBLFR98[CU6],TablePBLFR98[RCR]^{1,2,3}),1,2)</f>
        <v>0.99941724941725285</v>
      </c>
      <c r="AH27">
        <f>INDEX(LINEST(TablePBLFR98[CU7],TablePBLFR98[RCR]^{1,2,3}),1,2)</f>
        <v>1.4358974358974412</v>
      </c>
      <c r="AI27">
        <f>INDEX(LINEST(TablePBLFR98[CU8],TablePBLFR98[RCR]^{1,2,3}),1,2)</f>
        <v>2.0023310023310077</v>
      </c>
      <c r="AJ27">
        <f>INDEX(LINEST(TablePBLFR98[CU9],TablePBLFR98[RCR]^{1,2,3}),1,2)</f>
        <v>1.001748251748253</v>
      </c>
      <c r="AK27">
        <f>INDEX(LINEST(TablePBLFR98[CU10],TablePBLFR98[RCR]^{1,2,3}),1,2)</f>
        <v>1.2756410256410271</v>
      </c>
      <c r="AL27">
        <f>INDEX(LINEST(TablePBLFR98[CU11],TablePBLFR98[RCR]^{1,2,3}),1,2)</f>
        <v>1.6660839160839223</v>
      </c>
      <c r="AM27">
        <f>INDEX(LINEST(TablePBLFR98[CU12],TablePBLFR98[RCR]^{1,2,3}),1,2)</f>
        <v>0.86713286713287108</v>
      </c>
      <c r="AN27">
        <f>INDEX(LINEST(TablePBLFR98[CU13],TablePBLFR98[RCR]^{1,2,3}),1,2)</f>
        <v>1.1171328671328713</v>
      </c>
      <c r="AO27">
        <f>INDEX(LINEST(TablePBLFR98[CU14],TablePBLFR98[RCR]^{1,2,3}),1,2)</f>
        <v>1.4621212121212153</v>
      </c>
      <c r="AQ27" t="s">
        <v>219</v>
      </c>
      <c r="AR27" t="e">
        <f>INDEX(LINEST(Table1x430100[CU],Table1x430100[RCR]^{1,2,3}),1,2)</f>
        <v>#VALUE!</v>
      </c>
      <c r="AS27" t="e">
        <f>INDEX(LINEST(Table1x430100[CU1],Table1x430100[RCR]^{1,2,3}),1,2)</f>
        <v>#VALUE!</v>
      </c>
      <c r="AT27" t="e">
        <f>INDEX(LINEST(Table1x430100[CU2],Table1x430100[RCR]^{1,2,3}),1,2)</f>
        <v>#VALUE!</v>
      </c>
      <c r="AU27" t="e">
        <f>INDEX(LINEST(Table1x430100[CU3],Table1x430100[RCR]^{1,2,3}),1,2)</f>
        <v>#VALUE!</v>
      </c>
      <c r="AV27" t="e">
        <f>INDEX(LINEST(Table1x430100[CU4],Table1x430100[RCR]^{1,2,3}),1,2)</f>
        <v>#VALUE!</v>
      </c>
      <c r="AW27" t="e">
        <f>INDEX(LINEST(Table1x430100[CU5],Table1x430100[RCR]^{1,2,3}),1,2)</f>
        <v>#VALUE!</v>
      </c>
      <c r="AX27" t="e">
        <f>INDEX(LINEST(Table1x430100[CU6],Table1x430100[RCR]^{1,2,3}),1,2)</f>
        <v>#VALUE!</v>
      </c>
      <c r="AY27" t="e">
        <f>INDEX(LINEST(Table1x430100[CU7],Table1x430100[RCR]^{1,2,3}),1,2)</f>
        <v>#VALUE!</v>
      </c>
      <c r="AZ27" t="e">
        <f>INDEX(LINEST(Table1x430100[CU8],Table1x430100[RCR]^{1,2,3}),1,2)</f>
        <v>#VALUE!</v>
      </c>
      <c r="BA27" t="e">
        <f>INDEX(LINEST(Table1x430100[CU9],Table1x430100[RCR]^{1,2,3}),1,2)</f>
        <v>#VALUE!</v>
      </c>
      <c r="BB27" t="e">
        <f>INDEX(LINEST(Table1x430100[CU10],Table1x430100[RCR]^{1,2,3}),1,2)</f>
        <v>#VALUE!</v>
      </c>
      <c r="BC27" t="e">
        <f>INDEX(LINEST(Table1x430100[CU11],Table1x430100[RCR]^{1,2,3}),1,2)</f>
        <v>#VALUE!</v>
      </c>
      <c r="BD27" t="e">
        <f>INDEX(LINEST(Table1x430100[CU12],Table1x430100[RCR]^{1,2,3}),1,2)</f>
        <v>#VALUE!</v>
      </c>
      <c r="BE27" t="e">
        <f>INDEX(LINEST(Table1x430100[CU13],Table1x430100[RCR]^{1,2,3}),1,2)</f>
        <v>#VALUE!</v>
      </c>
      <c r="BF27" t="e">
        <f>INDEX(LINEST(Table1x430100[CU14],Table1x430100[RCR]^{1,2,3}),1,2)</f>
        <v>#VALUE!</v>
      </c>
    </row>
    <row r="28" spans="1:63" x14ac:dyDescent="0.25">
      <c r="C28" s="1"/>
      <c r="H28" s="5"/>
      <c r="I28" t="s">
        <v>220</v>
      </c>
      <c r="J28">
        <f t="array" ref="J28">INDEX(LINEST(TablePBL91[CU],TablePBL91[RCR]^{1,2,3}),1,3)</f>
        <v>-16.116550116550112</v>
      </c>
      <c r="K28">
        <f>INDEX(LINEST(TablePBL91[CU1],TablePBL91[RCR]^{1,2,3}),1,3)</f>
        <v>-20.204739704739723</v>
      </c>
      <c r="L28">
        <f>INDEX(LINEST(TablePBL91[CU2],TablePBL91[RCR]^{1,2,3}),1,3)</f>
        <v>-23.989510489510518</v>
      </c>
      <c r="M28">
        <f>INDEX(LINEST(TablePBL91[CU3],TablePBL91[RCR]^{1,2,3}),1,3)</f>
        <v>-15.076534576534584</v>
      </c>
      <c r="N28">
        <f>INDEX(LINEST(TablePBL91[CU4],TablePBL91[RCR]^{1,2,3}),1,3)</f>
        <v>-19.206293706293724</v>
      </c>
      <c r="O28">
        <f>INDEX(LINEST(TablePBL91[CU5],TablePBL91[RCR]^{1,2,3}),1,3)</f>
        <v>-22.314296814296807</v>
      </c>
      <c r="P28">
        <f>INDEX(LINEST(TablePBL91[CU6],TablePBL91[RCR]^{1,2,3}),1,3)</f>
        <v>-14.412198912198907</v>
      </c>
      <c r="Q28">
        <f>INDEX(LINEST(TablePBL91[CU7],TablePBL91[RCR]^{1,2,3}),1,3)</f>
        <v>-17.577311577311573</v>
      </c>
      <c r="R28">
        <f>INDEX(LINEST(TablePBL91[CU8],TablePBL91[RCR]^{1,2,3}),1,3)</f>
        <v>-20.154234654234671</v>
      </c>
      <c r="S28">
        <f>INDEX(LINEST(TablePBL91[CU9],TablePBL91[RCR]^{1,2,3}),1,3)</f>
        <v>-13.298756798756813</v>
      </c>
      <c r="T28">
        <f>INDEX(LINEST(TablePBL91[CU10],TablePBL91[RCR]^{1,2,3}),1,3)</f>
        <v>-15.93278943278945</v>
      </c>
      <c r="U28">
        <f>INDEX(LINEST(TablePBL91[CU11],TablePBL91[RCR]^{1,2,3}),1,3)</f>
        <v>-18.079642579642602</v>
      </c>
      <c r="V28">
        <f>INDEX(LINEST(TablePBL91[CU12],TablePBL91[RCR]^{1,2,3}),1,3)</f>
        <v>-12.753690753690762</v>
      </c>
      <c r="W28">
        <f>INDEX(LINEST(TablePBL91[CU13],TablePBL91[RCR]^{1,2,3}),1,3)</f>
        <v>-14.732323232323242</v>
      </c>
      <c r="X28">
        <f>INDEX(LINEST(TablePBL91[CU14],TablePBL91[RCR]^{1,2,3}),1,3)</f>
        <v>-16.669386169386161</v>
      </c>
      <c r="Z28" t="s">
        <v>220</v>
      </c>
      <c r="AA28">
        <f>INDEX(LINEST(TablePBLFR98[CU],TablePBLFR98[RCR]^{1,2,3}),1,3)</f>
        <v>-15.95415695415698</v>
      </c>
      <c r="AB28">
        <f>INDEX(LINEST(TablePBLFR98[CU1],TablePBLFR98[RCR]^{1,2,3}),1,3)</f>
        <v>-20.158896658896669</v>
      </c>
      <c r="AC28">
        <f>INDEX(LINEST(TablePBLFR98[CU2],TablePBLFR98[RCR]^{1,2,3}),1,3)</f>
        <v>-23.70745920745922</v>
      </c>
      <c r="AD28">
        <f>INDEX(LINEST(TablePBLFR98[CU3],TablePBLFR98[RCR]^{1,2,3}),1,3)</f>
        <v>-15.076534576534584</v>
      </c>
      <c r="AE28">
        <f>INDEX(LINEST(TablePBLFR98[CU4],TablePBLFR98[RCR]^{1,2,3}),1,3)</f>
        <v>-18.543900543900559</v>
      </c>
      <c r="AF28">
        <f>INDEX(LINEST(TablePBLFR98[CU5],TablePBLFR98[RCR]^{1,2,3}),1,3)</f>
        <v>-22.276223776223787</v>
      </c>
      <c r="AG28">
        <f>INDEX(LINEST(TablePBLFR98[CU6],TablePBLFR98[RCR]^{1,2,3}),1,3)</f>
        <v>-13.963092463092472</v>
      </c>
      <c r="AH28">
        <f>INDEX(LINEST(TablePBLFR98[CU7],TablePBLFR98[RCR]^{1,2,3}),1,3)</f>
        <v>-16.980574980575</v>
      </c>
      <c r="AI28">
        <f>INDEX(LINEST(TablePBLFR98[CU8],TablePBLFR98[RCR]^{1,2,3}),1,3)</f>
        <v>-20.195804195804211</v>
      </c>
      <c r="AJ28">
        <f>INDEX(LINEST(TablePBLFR98[CU9],TablePBLFR98[RCR]^{1,2,3}),1,3)</f>
        <v>-13.135586635586636</v>
      </c>
      <c r="AK28">
        <f>INDEX(LINEST(TablePBLFR98[CU10],TablePBLFR98[RCR]^{1,2,3}),1,3)</f>
        <v>-15.455322455322454</v>
      </c>
      <c r="AL28">
        <f>INDEX(LINEST(TablePBLFR98[CU11],TablePBLFR98[RCR]^{1,2,3}),1,3)</f>
        <v>-17.946775446775469</v>
      </c>
      <c r="AM28">
        <f>INDEX(LINEST(TablePBLFR98[CU12],TablePBLFR98[RCR]^{1,2,3}),1,3)</f>
        <v>-12.05672105672107</v>
      </c>
      <c r="AN28">
        <f>INDEX(LINEST(TablePBLFR98[CU13],TablePBLFR98[RCR]^{1,2,3}),1,3)</f>
        <v>-14.200077700077712</v>
      </c>
      <c r="AO28">
        <f>INDEX(LINEST(TablePBLFR98[CU14],TablePBLFR98[RCR]^{1,2,3}),1,3)</f>
        <v>-16.38150738150739</v>
      </c>
      <c r="AQ28" t="s">
        <v>220</v>
      </c>
      <c r="AR28" t="e">
        <f>INDEX(LINEST(Table1x430100[CU],Table1x430100[RCR]^{1,2,3}),1,3)</f>
        <v>#VALUE!</v>
      </c>
      <c r="AS28" t="e">
        <f>INDEX(LINEST(Table1x430100[CU1],Table1x430100[RCR]^{1,2,3}),1,3)</f>
        <v>#VALUE!</v>
      </c>
      <c r="AT28" t="e">
        <f>INDEX(LINEST(Table1x430100[CU2],Table1x430100[RCR]^{1,2,3}),1,3)</f>
        <v>#VALUE!</v>
      </c>
      <c r="AU28" t="e">
        <f>INDEX(LINEST(Table1x430100[CU3],Table1x430100[RCR]^{1,2,3}),1,3)</f>
        <v>#VALUE!</v>
      </c>
      <c r="AV28" t="e">
        <f>INDEX(LINEST(Table1x430100[CU4],Table1x430100[RCR]^{1,2,3}),1,3)</f>
        <v>#VALUE!</v>
      </c>
      <c r="AW28" t="e">
        <f>INDEX(LINEST(Table1x430100[CU5],Table1x430100[RCR]^{1,2,3}),1,3)</f>
        <v>#VALUE!</v>
      </c>
      <c r="AX28" t="e">
        <f>INDEX(LINEST(Table1x430100[CU6],Table1x430100[RCR]^{1,2,3}),1,3)</f>
        <v>#VALUE!</v>
      </c>
      <c r="AY28" t="e">
        <f>INDEX(LINEST(Table1x430100[CU7],Table1x430100[RCR]^{1,2,3}),1,3)</f>
        <v>#VALUE!</v>
      </c>
      <c r="AZ28" t="e">
        <f>INDEX(LINEST(Table1x430100[CU8],Table1x430100[RCR]^{1,2,3}),1,3)</f>
        <v>#VALUE!</v>
      </c>
      <c r="BA28" t="e">
        <f>INDEX(LINEST(Table1x430100[CU9],Table1x430100[RCR]^{1,2,3}),1,3)</f>
        <v>#VALUE!</v>
      </c>
      <c r="BB28" t="e">
        <f>INDEX(LINEST(Table1x430100[CU10],Table1x430100[RCR]^{1,2,3}),1,3)</f>
        <v>#VALUE!</v>
      </c>
      <c r="BC28" t="e">
        <f>INDEX(LINEST(Table1x430100[CU11],Table1x430100[RCR]^{1,2,3}),1,3)</f>
        <v>#VALUE!</v>
      </c>
      <c r="BD28" t="e">
        <f>INDEX(LINEST(Table1x430100[CU12],Table1x430100[RCR]^{1,2,3}),1,3)</f>
        <v>#VALUE!</v>
      </c>
      <c r="BE28" t="e">
        <f>INDEX(LINEST(Table1x430100[CU13],Table1x430100[RCR]^{1,2,3}),1,3)</f>
        <v>#VALUE!</v>
      </c>
      <c r="BF28" t="e">
        <f>INDEX(LINEST(Table1x430100[CU14],Table1x430100[RCR]^{1,2,3}),1,3)</f>
        <v>#VALUE!</v>
      </c>
    </row>
    <row r="29" spans="1:63" x14ac:dyDescent="0.25">
      <c r="C29" s="3"/>
      <c r="H29" s="5"/>
      <c r="I29" t="s">
        <v>221</v>
      </c>
      <c r="J29">
        <f>INDEX(LINEST(TablePBL91[CU],TablePBL91[RCR]^{1,2,3}),1,4)</f>
        <v>117.90909090909088</v>
      </c>
      <c r="K29">
        <f>INDEX(LINEST(TablePBL91[CU1],TablePBL91[RCR]^{1,2,3}),1,4)</f>
        <v>117.71328671328672</v>
      </c>
      <c r="L29">
        <f>INDEX(LINEST(TablePBL91[CU2],TablePBL91[RCR]^{1,2,3}),1,4)</f>
        <v>117.31468531468531</v>
      </c>
      <c r="M29">
        <f>INDEX(LINEST(TablePBL91[CU3],TablePBL91[RCR]^{1,2,3}),1,4)</f>
        <v>114.013986013986</v>
      </c>
      <c r="N29">
        <f>INDEX(LINEST(TablePBL91[CU4],TablePBL91[RCR]^{1,2,3}),1,4)</f>
        <v>113.79020979020981</v>
      </c>
      <c r="O29">
        <f>INDEX(LINEST(TablePBL91[CU5],TablePBL91[RCR]^{1,2,3}),1,4)</f>
        <v>113.56643356643355</v>
      </c>
      <c r="P29">
        <f>INDEX(LINEST(TablePBL91[CU6],TablePBL91[RCR]^{1,2,3}),1,4)</f>
        <v>108.04895104895103</v>
      </c>
      <c r="Q29">
        <f>INDEX(LINEST(TablePBL91[CU7],TablePBL91[RCR]^{1,2,3}),1,4)</f>
        <v>107.92307692307689</v>
      </c>
      <c r="R29">
        <f>INDEX(LINEST(TablePBL91[CU8],TablePBL91[RCR]^{1,2,3}),1,4)</f>
        <v>107.61538461538461</v>
      </c>
      <c r="S29">
        <f>INDEX(LINEST(TablePBL91[CU9],TablePBL91[RCR]^{1,2,3}),1,4)</f>
        <v>102.02797202797201</v>
      </c>
      <c r="T29">
        <f>INDEX(LINEST(TablePBL91[CU10],TablePBL91[RCR]^{1,2,3}),1,4)</f>
        <v>101.81818181818183</v>
      </c>
      <c r="U29">
        <f>INDEX(LINEST(TablePBL91[CU11],TablePBL91[RCR]^{1,2,3}),1,4)</f>
        <v>101.66433566433567</v>
      </c>
      <c r="V29">
        <f>INDEX(LINEST(TablePBL91[CU12],TablePBL91[RCR]^{1,2,3}),1,4)</f>
        <v>96.888111888111879</v>
      </c>
      <c r="W29">
        <f>INDEX(LINEST(TablePBL91[CU13],TablePBL91[RCR]^{1,2,3}),1,4)</f>
        <v>96.825174825174827</v>
      </c>
      <c r="X29">
        <f>INDEX(LINEST(TablePBL91[CU14],TablePBL91[RCR]^{1,2,3}),1,4)</f>
        <v>96.993006993006972</v>
      </c>
      <c r="Z29" t="s">
        <v>221</v>
      </c>
      <c r="AA29">
        <f>INDEX(LINEST(TablePBLFR98[CU],TablePBLFR98[RCR]^{1,2,3}),1,4)</f>
        <v>117.81118881118881</v>
      </c>
      <c r="AB29">
        <f>INDEX(LINEST(TablePBLFR98[CU1],TablePBLFR98[RCR]^{1,2,3}),1,4)</f>
        <v>117.68531468531467</v>
      </c>
      <c r="AC29">
        <f>INDEX(LINEST(TablePBLFR98[CU2],TablePBLFR98[RCR]^{1,2,3}),1,4)</f>
        <v>117.18881118881117</v>
      </c>
      <c r="AD29">
        <f>INDEX(LINEST(TablePBLFR98[CU3],TablePBLFR98[RCR]^{1,2,3}),1,4)</f>
        <v>114.013986013986</v>
      </c>
      <c r="AE29">
        <f>INDEX(LINEST(TablePBLFR98[CU4],TablePBLFR98[RCR]^{1,2,3}),1,4)</f>
        <v>113.55944055944056</v>
      </c>
      <c r="AF29">
        <f>INDEX(LINEST(TablePBLFR98[CU5],TablePBLFR98[RCR]^{1,2,3}),1,4)</f>
        <v>113.60139860139859</v>
      </c>
      <c r="AG29">
        <f>INDEX(LINEST(TablePBLFR98[CU6],TablePBLFR98[RCR]^{1,2,3}),1,4)</f>
        <v>107.99300699300699</v>
      </c>
      <c r="AH29">
        <f>INDEX(LINEST(TablePBLFR98[CU7],TablePBLFR98[RCR]^{1,2,3}),1,4)</f>
        <v>107.77622377622376</v>
      </c>
      <c r="AI29">
        <f>INDEX(LINEST(TablePBLFR98[CU8],TablePBLFR98[RCR]^{1,2,3}),1,4)</f>
        <v>107.60139860139857</v>
      </c>
      <c r="AJ29">
        <f>INDEX(LINEST(TablePBLFR98[CU9],TablePBLFR98[RCR]^{1,2,3}),1,4)</f>
        <v>102.14685314685313</v>
      </c>
      <c r="AK29">
        <f>INDEX(LINEST(TablePBLFR98[CU10],TablePBLFR98[RCR]^{1,2,3}),1,4)</f>
        <v>101.93706293706293</v>
      </c>
      <c r="AL29">
        <f>INDEX(LINEST(TablePBLFR98[CU11],TablePBLFR98[RCR]^{1,2,3}),1,4)</f>
        <v>101.73426573426573</v>
      </c>
      <c r="AM29">
        <f>INDEX(LINEST(TablePBLFR98[CU12],TablePBLFR98[RCR]^{1,2,3}),1,4)</f>
        <v>97.048951048951054</v>
      </c>
      <c r="AN29">
        <f>INDEX(LINEST(TablePBLFR98[CU13],TablePBLFR98[RCR]^{1,2,3}),1,4)</f>
        <v>96.874125874125866</v>
      </c>
      <c r="AO29">
        <f>INDEX(LINEST(TablePBLFR98[CU14],TablePBLFR98[RCR]^{1,2,3}),1,4)</f>
        <v>96.846153846153825</v>
      </c>
      <c r="AQ29" t="s">
        <v>221</v>
      </c>
      <c r="AR29" t="e">
        <f>INDEX(LINEST(Table1x430100[CU],Table1x430100[RCR]^{1,2,3}),1,4)</f>
        <v>#VALUE!</v>
      </c>
      <c r="AS29" t="e">
        <f>INDEX(LINEST(Table1x430100[CU1],Table1x430100[RCR]^{1,2,3}),1,4)</f>
        <v>#VALUE!</v>
      </c>
      <c r="AT29" t="e">
        <f>INDEX(LINEST(Table1x430100[CU2],Table1x430100[RCR]^{1,2,3}),1,4)</f>
        <v>#VALUE!</v>
      </c>
      <c r="AU29" t="e">
        <f>INDEX(LINEST(Table1x430100[CU3],Table1x430100[RCR]^{1,2,3}),1,4)</f>
        <v>#VALUE!</v>
      </c>
      <c r="AV29" t="e">
        <f>INDEX(LINEST(Table1x430100[CU4],Table1x430100[RCR]^{1,2,3}),1,4)</f>
        <v>#VALUE!</v>
      </c>
      <c r="AW29" t="e">
        <f>INDEX(LINEST(Table1x430100[CU5],Table1x430100[RCR]^{1,2,3}),1,4)</f>
        <v>#VALUE!</v>
      </c>
      <c r="AX29" t="e">
        <f>INDEX(LINEST(Table1x430100[CU6],Table1x430100[RCR]^{1,2,3}),1,4)</f>
        <v>#VALUE!</v>
      </c>
      <c r="AY29" t="e">
        <f>INDEX(LINEST(Table1x430100[CU7],Table1x430100[RCR]^{1,2,3}),1,4)</f>
        <v>#VALUE!</v>
      </c>
      <c r="AZ29" t="e">
        <f>INDEX(LINEST(Table1x430100[CU8],Table1x430100[RCR]^{1,2,3}),1,4)</f>
        <v>#VALUE!</v>
      </c>
      <c r="BA29" t="e">
        <f>INDEX(LINEST(Table1x430100[CU9],Table1x430100[RCR]^{1,2,3}),1,4)</f>
        <v>#VALUE!</v>
      </c>
      <c r="BB29" t="e">
        <f>INDEX(LINEST(Table1x430100[CU10],Table1x430100[RCR]^{1,2,3}),1,4)</f>
        <v>#VALUE!</v>
      </c>
      <c r="BC29" t="e">
        <f>INDEX(LINEST(Table1x430100[CU11],Table1x430100[RCR]^{1,2,3}),1,4)</f>
        <v>#VALUE!</v>
      </c>
      <c r="BD29" t="e">
        <f>INDEX(LINEST(Table1x430100[CU12],Table1x430100[RCR]^{1,2,3}),1,4)</f>
        <v>#VALUE!</v>
      </c>
      <c r="BE29" t="e">
        <f>INDEX(LINEST(Table1x430100[CU13],Table1x430100[RCR]^{1,2,3}),1,4)</f>
        <v>#VALUE!</v>
      </c>
      <c r="BF29" t="e">
        <f>INDEX(LINEST(Table1x430100[CU14],Table1x430100[RCR]^{1,2,3}),1,4)</f>
        <v>#VALUE!</v>
      </c>
    </row>
    <row r="30" spans="1:63" x14ac:dyDescent="0.25">
      <c r="A30" s="26" t="s">
        <v>126</v>
      </c>
      <c r="B30" s="30"/>
      <c r="C30" s="32"/>
      <c r="D30" s="30"/>
      <c r="E30" s="30"/>
      <c r="F30" s="30"/>
      <c r="G30" s="30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4</v>
      </c>
      <c r="L34" t="e">
        <f>K25</f>
        <v>#DIV/0!</v>
      </c>
    </row>
    <row r="35" spans="1:63" x14ac:dyDescent="0.25">
      <c r="C35" s="14"/>
      <c r="H35" t="s">
        <v>17</v>
      </c>
      <c r="I35">
        <v>80</v>
      </c>
      <c r="J35">
        <v>10</v>
      </c>
      <c r="K35">
        <v>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4</v>
      </c>
      <c r="L36" t="e">
        <f>M25</f>
        <v>#DIV/0!</v>
      </c>
    </row>
    <row r="37" spans="1:63" x14ac:dyDescent="0.25">
      <c r="A37" s="26" t="s">
        <v>127</v>
      </c>
      <c r="B37" s="30"/>
      <c r="C37" s="31"/>
      <c r="D37" s="30"/>
      <c r="E37" s="30"/>
      <c r="F37" s="30"/>
      <c r="G37" s="30"/>
      <c r="H37" t="s">
        <v>19</v>
      </c>
      <c r="I37">
        <v>70</v>
      </c>
      <c r="J37">
        <v>30</v>
      </c>
      <c r="K37">
        <v>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</v>
      </c>
      <c r="F44" s="12">
        <f>E44*(C14-C15)</f>
        <v>-3</v>
      </c>
      <c r="H44" t="s">
        <v>25</v>
      </c>
      <c r="I44">
        <v>30</v>
      </c>
      <c r="J44">
        <v>10</v>
      </c>
      <c r="K44">
        <v>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</v>
      </c>
      <c r="F45" s="12">
        <f>E45*(C14-C15)</f>
        <v>-3</v>
      </c>
      <c r="H45" t="s">
        <v>27</v>
      </c>
      <c r="I45">
        <v>10</v>
      </c>
      <c r="J45">
        <v>50</v>
      </c>
      <c r="K45">
        <v>4</v>
      </c>
      <c r="L45" t="e">
        <f>V25</f>
        <v>#DIV/0!</v>
      </c>
    </row>
    <row r="46" spans="1:63" x14ac:dyDescent="0.25">
      <c r="B46" t="s">
        <v>1346</v>
      </c>
      <c r="C46" s="1" t="e">
        <f>IF(C39=1,C11/2,C44/2)</f>
        <v>#N/A</v>
      </c>
      <c r="D46" t="s">
        <v>8</v>
      </c>
      <c r="E46" s="12"/>
      <c r="F46" s="12"/>
      <c r="H46" t="s">
        <v>28</v>
      </c>
      <c r="I46">
        <v>10</v>
      </c>
      <c r="J46">
        <v>30</v>
      </c>
      <c r="K46">
        <v>4</v>
      </c>
      <c r="L46" t="e">
        <f>W25</f>
        <v>#DIV/0!</v>
      </c>
    </row>
    <row r="47" spans="1:63" x14ac:dyDescent="0.25">
      <c r="B47" t="s">
        <v>1347</v>
      </c>
      <c r="C47" s="1" t="e">
        <f>IF(C40=1,C12/2,C45/2)</f>
        <v>#N/A</v>
      </c>
      <c r="D47" t="s">
        <v>8</v>
      </c>
      <c r="E47" s="12"/>
      <c r="F47" s="12"/>
      <c r="H47" t="s">
        <v>29</v>
      </c>
      <c r="I47">
        <v>10</v>
      </c>
      <c r="J47">
        <v>10</v>
      </c>
      <c r="K47">
        <v>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>
        <v>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766</v>
      </c>
      <c r="J81">
        <v>7827</v>
      </c>
      <c r="K81">
        <v>60</v>
      </c>
    </row>
    <row r="82" spans="9:22" x14ac:dyDescent="0.25">
      <c r="I82" t="s">
        <v>767</v>
      </c>
      <c r="J82">
        <v>10869</v>
      </c>
      <c r="K82">
        <v>87</v>
      </c>
    </row>
    <row r="83" spans="9:22" x14ac:dyDescent="0.25">
      <c r="I83" t="s">
        <v>768</v>
      </c>
      <c r="J83">
        <v>11693</v>
      </c>
      <c r="K83">
        <v>91</v>
      </c>
    </row>
    <row r="84" spans="9:22" x14ac:dyDescent="0.25">
      <c r="I84" t="s">
        <v>769</v>
      </c>
      <c r="J84">
        <v>15132</v>
      </c>
      <c r="K84">
        <v>123</v>
      </c>
    </row>
    <row r="85" spans="9:22" x14ac:dyDescent="0.25">
      <c r="I85" t="s">
        <v>770</v>
      </c>
      <c r="J85">
        <v>19755</v>
      </c>
      <c r="K85">
        <v>160</v>
      </c>
    </row>
    <row r="86" spans="9:22" x14ac:dyDescent="0.25">
      <c r="I86" t="s">
        <v>771</v>
      </c>
      <c r="J86">
        <v>21738</v>
      </c>
      <c r="K86">
        <v>174</v>
      </c>
    </row>
    <row r="87" spans="9:22" x14ac:dyDescent="0.25">
      <c r="I87" t="s">
        <v>772</v>
      </c>
      <c r="J87">
        <v>8086</v>
      </c>
      <c r="K87">
        <v>60</v>
      </c>
      <c r="N87" t="s">
        <v>11</v>
      </c>
      <c r="O87" t="s">
        <v>12</v>
      </c>
      <c r="P87" t="s">
        <v>15</v>
      </c>
      <c r="R87" t="s">
        <v>143</v>
      </c>
      <c r="S87" t="s">
        <v>135</v>
      </c>
      <c r="T87" t="s">
        <v>136</v>
      </c>
      <c r="V87" t="s">
        <v>138</v>
      </c>
    </row>
    <row r="88" spans="9:22" x14ac:dyDescent="0.25">
      <c r="I88" t="s">
        <v>773</v>
      </c>
      <c r="J88">
        <v>11228</v>
      </c>
      <c r="K88">
        <v>87</v>
      </c>
      <c r="N88">
        <v>80</v>
      </c>
      <c r="O88">
        <v>50</v>
      </c>
      <c r="P88">
        <v>20</v>
      </c>
      <c r="R88">
        <v>2</v>
      </c>
      <c r="S88">
        <v>1.2</v>
      </c>
      <c r="T88">
        <v>1.2</v>
      </c>
      <c r="V88">
        <v>0</v>
      </c>
    </row>
    <row r="89" spans="9:22" x14ac:dyDescent="0.25">
      <c r="I89" t="s">
        <v>774</v>
      </c>
      <c r="J89">
        <v>12080</v>
      </c>
      <c r="K89">
        <v>91</v>
      </c>
      <c r="N89">
        <v>70</v>
      </c>
      <c r="O89">
        <v>30</v>
      </c>
      <c r="R89">
        <v>4</v>
      </c>
      <c r="S89" s="11">
        <v>1.22</v>
      </c>
      <c r="T89">
        <v>1.22</v>
      </c>
      <c r="V89">
        <v>90</v>
      </c>
    </row>
    <row r="90" spans="9:22" x14ac:dyDescent="0.25">
      <c r="I90" t="s">
        <v>775</v>
      </c>
      <c r="J90">
        <v>15633</v>
      </c>
      <c r="K90">
        <v>123</v>
      </c>
      <c r="N90">
        <v>50</v>
      </c>
      <c r="O90">
        <v>10</v>
      </c>
    </row>
    <row r="91" spans="9:22" x14ac:dyDescent="0.25">
      <c r="I91" t="s">
        <v>776</v>
      </c>
      <c r="J91">
        <v>20408</v>
      </c>
      <c r="K91">
        <v>160</v>
      </c>
      <c r="N91">
        <v>30</v>
      </c>
    </row>
    <row r="92" spans="9:22" x14ac:dyDescent="0.25">
      <c r="I92" t="s">
        <v>777</v>
      </c>
      <c r="J92">
        <v>22456</v>
      </c>
      <c r="K92">
        <v>174</v>
      </c>
      <c r="N92">
        <v>10</v>
      </c>
    </row>
    <row r="93" spans="9:22" x14ac:dyDescent="0.25">
      <c r="I93" t="s">
        <v>778</v>
      </c>
      <c r="J93">
        <v>8328</v>
      </c>
      <c r="K93">
        <v>60</v>
      </c>
    </row>
    <row r="94" spans="9:22" x14ac:dyDescent="0.25">
      <c r="I94" t="s">
        <v>779</v>
      </c>
      <c r="J94">
        <v>11565</v>
      </c>
      <c r="K94">
        <v>87</v>
      </c>
    </row>
    <row r="95" spans="9:22" x14ac:dyDescent="0.25">
      <c r="I95" t="s">
        <v>780</v>
      </c>
      <c r="J95">
        <v>12442</v>
      </c>
      <c r="K95">
        <v>91</v>
      </c>
    </row>
    <row r="96" spans="9:22" x14ac:dyDescent="0.25">
      <c r="I96" t="s">
        <v>781</v>
      </c>
      <c r="J96">
        <v>16101</v>
      </c>
      <c r="K96">
        <v>123</v>
      </c>
    </row>
    <row r="97" spans="9:11" x14ac:dyDescent="0.25">
      <c r="I97" t="s">
        <v>782</v>
      </c>
      <c r="J97">
        <v>21020</v>
      </c>
      <c r="K97">
        <v>160</v>
      </c>
    </row>
    <row r="98" spans="9:11" x14ac:dyDescent="0.25">
      <c r="I98" t="s">
        <v>783</v>
      </c>
      <c r="J98">
        <v>23130</v>
      </c>
      <c r="K98">
        <v>174</v>
      </c>
    </row>
  </sheetData>
  <sheetProtection algorithmName="SHA-512" hashValue="iTQMsP9b9ZPRbrlGwWnJqcssJ0uSmefyKjfz23vFB8GRh+/XugsmUj5OkGvwWcllTxuh/15xRiadqWK4cYtgsQ==" saltValue="wTkxOM1q79THxoZjvKBe6w==" spinCount="100000" sheet="1" selectLockedCells="1"/>
  <mergeCells count="4">
    <mergeCell ref="A52:D55"/>
    <mergeCell ref="BI6:BK6"/>
    <mergeCell ref="BI7:BK7"/>
    <mergeCell ref="BI5:BK5"/>
  </mergeCells>
  <conditionalFormatting sqref="C44">
    <cfRule type="cellIs" dxfId="235" priority="4" operator="greaterThan">
      <formula>$F$44</formula>
    </cfRule>
  </conditionalFormatting>
  <conditionalFormatting sqref="C45">
    <cfRule type="cellIs" dxfId="234" priority="3" operator="greaterThan">
      <formula>$F$45</formula>
    </cfRule>
  </conditionalFormatting>
  <dataValidations count="4">
    <dataValidation type="list" allowBlank="1" showInputMessage="1" showErrorMessage="1" sqref="C43" xr:uid="{8940851F-66A9-4091-9D13-1DC21D9557D2}">
      <formula1>$V$88:$V$89</formula1>
    </dataValidation>
    <dataValidation type="list" allowBlank="1" showInputMessage="1" showErrorMessage="1" sqref="C18" xr:uid="{E44B596A-9E3A-406B-933C-2E44F813EF09}">
      <formula1>$O$88:$O$90</formula1>
    </dataValidation>
    <dataValidation type="list" allowBlank="1" showInputMessage="1" showErrorMessage="1" sqref="C17" xr:uid="{8417EE3C-12C9-4D6A-B806-184CF33E0526}">
      <formula1>$N$88:$N$92</formula1>
    </dataValidation>
    <dataValidation type="list" allowBlank="1" showInputMessage="1" showErrorMessage="1" sqref="C21" xr:uid="{5F8D9B98-DAA3-4887-958D-8D093ECCDEEB}">
      <formula1>$I$81:$I$98</formula1>
    </dataValidation>
  </dataValidations>
  <pageMargins left="0.45" right="0.45" top="0.5" bottom="0.5" header="0.3" footer="0.3"/>
  <pageSetup scale="86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B45DC-A172-4441-A252-AD7E3F6EB2AF}">
  <sheetPr>
    <pageSetUpPr fitToPage="1"/>
  </sheetPr>
  <dimension ref="A5:BK116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28515625" customWidth="1"/>
    <col min="3" max="3" width="24.85546875" customWidth="1"/>
    <col min="4" max="4" width="5.85546875" bestFit="1" customWidth="1"/>
    <col min="5" max="8" width="9.140625" hidden="1" customWidth="1"/>
    <col min="9" max="9" width="20.425781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1325</v>
      </c>
      <c r="BH7" s="5" t="s">
        <v>1345</v>
      </c>
      <c r="BI7" s="37"/>
      <c r="BJ7" s="37"/>
      <c r="BK7" s="37"/>
    </row>
    <row r="9" spans="1:63" x14ac:dyDescent="0.25">
      <c r="I9" s="6" t="s">
        <v>117</v>
      </c>
      <c r="Z9" s="2" t="s">
        <v>114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Z13">
        <v>0</v>
      </c>
      <c r="AA13">
        <v>118</v>
      </c>
      <c r="AB13">
        <v>118</v>
      </c>
      <c r="AC13">
        <v>118</v>
      </c>
      <c r="AD13">
        <v>115</v>
      </c>
      <c r="AE13">
        <v>115</v>
      </c>
      <c r="AF13">
        <v>115</v>
      </c>
      <c r="AG13">
        <v>109</v>
      </c>
      <c r="AH13">
        <v>109</v>
      </c>
      <c r="AI13">
        <v>109</v>
      </c>
      <c r="AJ13">
        <v>104</v>
      </c>
      <c r="AK13">
        <v>104</v>
      </c>
      <c r="AL13">
        <v>104</v>
      </c>
      <c r="AM13">
        <v>99</v>
      </c>
      <c r="AN13">
        <v>99</v>
      </c>
      <c r="AO13">
        <v>99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Z14">
        <v>1</v>
      </c>
      <c r="AA14">
        <v>102</v>
      </c>
      <c r="AB14">
        <v>97</v>
      </c>
      <c r="AC14">
        <v>93</v>
      </c>
      <c r="AD14">
        <v>99</v>
      </c>
      <c r="AE14">
        <v>95</v>
      </c>
      <c r="AF14">
        <v>91</v>
      </c>
      <c r="AG14">
        <v>95</v>
      </c>
      <c r="AH14">
        <v>91</v>
      </c>
      <c r="AI14">
        <v>88</v>
      </c>
      <c r="AJ14">
        <v>90</v>
      </c>
      <c r="AK14">
        <v>87</v>
      </c>
      <c r="AL14">
        <v>85</v>
      </c>
      <c r="AM14">
        <v>86</v>
      </c>
      <c r="AN14">
        <v>84</v>
      </c>
      <c r="AO14">
        <v>82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Z15">
        <v>2</v>
      </c>
      <c r="AA15">
        <v>89</v>
      </c>
      <c r="AB15">
        <v>82</v>
      </c>
      <c r="AC15">
        <v>76</v>
      </c>
      <c r="AD15">
        <v>86</v>
      </c>
      <c r="AE15">
        <v>80</v>
      </c>
      <c r="AF15">
        <v>74</v>
      </c>
      <c r="AG15">
        <v>82</v>
      </c>
      <c r="AH15">
        <v>77</v>
      </c>
      <c r="AI15">
        <v>72</v>
      </c>
      <c r="AJ15">
        <v>79</v>
      </c>
      <c r="AK15">
        <v>74</v>
      </c>
      <c r="AL15">
        <v>70</v>
      </c>
      <c r="AM15">
        <v>75</v>
      </c>
      <c r="AN15">
        <v>71</v>
      </c>
      <c r="AO15">
        <v>68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Z16">
        <v>3</v>
      </c>
      <c r="AA16">
        <v>78</v>
      </c>
      <c r="AB16">
        <v>69</v>
      </c>
      <c r="AC16">
        <v>63</v>
      </c>
      <c r="AD16">
        <v>76</v>
      </c>
      <c r="AE16">
        <v>68</v>
      </c>
      <c r="AF16">
        <v>62</v>
      </c>
      <c r="AG16">
        <v>72</v>
      </c>
      <c r="AH16">
        <v>66</v>
      </c>
      <c r="AI16">
        <v>60</v>
      </c>
      <c r="AJ16">
        <v>69</v>
      </c>
      <c r="AK16">
        <v>64</v>
      </c>
      <c r="AL16">
        <v>59</v>
      </c>
      <c r="AM16">
        <v>66</v>
      </c>
      <c r="AN16">
        <v>62</v>
      </c>
      <c r="AO16">
        <v>58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Z17">
        <v>4</v>
      </c>
      <c r="AA17">
        <v>69</v>
      </c>
      <c r="AB17">
        <v>60</v>
      </c>
      <c r="AC17">
        <v>53</v>
      </c>
      <c r="AD17">
        <v>67</v>
      </c>
      <c r="AE17">
        <v>59</v>
      </c>
      <c r="AF17">
        <v>52</v>
      </c>
      <c r="AG17">
        <v>64</v>
      </c>
      <c r="AH17">
        <v>57</v>
      </c>
      <c r="AI17">
        <v>51</v>
      </c>
      <c r="AJ17">
        <v>62</v>
      </c>
      <c r="AK17">
        <v>55</v>
      </c>
      <c r="AL17">
        <v>50</v>
      </c>
      <c r="AM17">
        <v>59</v>
      </c>
      <c r="AN17">
        <v>54</v>
      </c>
      <c r="AO17">
        <v>49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Z18">
        <v>5</v>
      </c>
      <c r="AA18">
        <v>61</v>
      </c>
      <c r="AB18">
        <v>52</v>
      </c>
      <c r="AC18">
        <v>46</v>
      </c>
      <c r="AD18">
        <v>60</v>
      </c>
      <c r="AE18">
        <v>52</v>
      </c>
      <c r="AF18">
        <v>45</v>
      </c>
      <c r="AG18">
        <v>58</v>
      </c>
      <c r="AH18">
        <v>50</v>
      </c>
      <c r="AI18">
        <v>44</v>
      </c>
      <c r="AJ18">
        <v>55</v>
      </c>
      <c r="AK18">
        <v>49</v>
      </c>
      <c r="AL18">
        <v>44</v>
      </c>
      <c r="AM18">
        <v>53</v>
      </c>
      <c r="AN18">
        <v>47</v>
      </c>
      <c r="AO18">
        <v>43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Z19">
        <v>6</v>
      </c>
      <c r="AA19">
        <v>55</v>
      </c>
      <c r="AB19">
        <v>46</v>
      </c>
      <c r="AC19">
        <v>40</v>
      </c>
      <c r="AD19">
        <v>54</v>
      </c>
      <c r="AE19">
        <v>46</v>
      </c>
      <c r="AF19">
        <v>39</v>
      </c>
      <c r="AG19">
        <v>52</v>
      </c>
      <c r="AH19">
        <v>44</v>
      </c>
      <c r="AI19">
        <v>39</v>
      </c>
      <c r="AJ19">
        <v>50</v>
      </c>
      <c r="AK19">
        <v>43</v>
      </c>
      <c r="AL19">
        <v>38</v>
      </c>
      <c r="AM19">
        <v>48</v>
      </c>
      <c r="AN19">
        <v>42</v>
      </c>
      <c r="AO19">
        <v>38</v>
      </c>
      <c r="AQ19">
        <v>6</v>
      </c>
    </row>
    <row r="20" spans="1:63" x14ac:dyDescent="0.25">
      <c r="I20">
        <v>7</v>
      </c>
      <c r="Z20">
        <v>7</v>
      </c>
      <c r="AA20">
        <v>50</v>
      </c>
      <c r="AB20">
        <v>41</v>
      </c>
      <c r="AC20">
        <v>35</v>
      </c>
      <c r="AD20">
        <v>49</v>
      </c>
      <c r="AE20">
        <v>41</v>
      </c>
      <c r="AF20">
        <v>35</v>
      </c>
      <c r="AG20">
        <v>47</v>
      </c>
      <c r="AH20">
        <v>40</v>
      </c>
      <c r="AI20">
        <v>34</v>
      </c>
      <c r="AJ20">
        <v>46</v>
      </c>
      <c r="AK20">
        <v>39</v>
      </c>
      <c r="AL20">
        <v>34</v>
      </c>
      <c r="AM20">
        <v>44</v>
      </c>
      <c r="AN20">
        <v>38</v>
      </c>
      <c r="AO20">
        <v>33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IF(ISNUMBER(SEARCH("FR",C21)),"Yes","No")</f>
        <v>No</v>
      </c>
      <c r="I21">
        <v>8</v>
      </c>
      <c r="Z21">
        <v>8</v>
      </c>
      <c r="AA21">
        <v>46</v>
      </c>
      <c r="AB21">
        <v>37</v>
      </c>
      <c r="AC21">
        <v>31</v>
      </c>
      <c r="AD21">
        <v>45</v>
      </c>
      <c r="AE21">
        <v>37</v>
      </c>
      <c r="AF21">
        <v>31</v>
      </c>
      <c r="AG21">
        <v>43</v>
      </c>
      <c r="AH21">
        <v>36</v>
      </c>
      <c r="AI21">
        <v>31</v>
      </c>
      <c r="AJ21">
        <v>42</v>
      </c>
      <c r="AK21">
        <v>35</v>
      </c>
      <c r="AL21">
        <v>30</v>
      </c>
      <c r="AM21">
        <v>40</v>
      </c>
      <c r="AN21">
        <v>34</v>
      </c>
      <c r="AO21">
        <v>30</v>
      </c>
      <c r="AQ21">
        <v>8</v>
      </c>
    </row>
    <row r="22" spans="1:63" x14ac:dyDescent="0.25">
      <c r="B22" t="s">
        <v>30</v>
      </c>
      <c r="C22" s="4" t="e">
        <f>VLOOKUP(C21,Model5235363199209[],2,0)</f>
        <v>#N/A</v>
      </c>
      <c r="D22" t="s">
        <v>131</v>
      </c>
      <c r="I22">
        <v>9</v>
      </c>
      <c r="Z22">
        <v>9</v>
      </c>
      <c r="AA22">
        <v>42</v>
      </c>
      <c r="AB22">
        <v>34</v>
      </c>
      <c r="AC22">
        <v>28</v>
      </c>
      <c r="AD22">
        <v>41</v>
      </c>
      <c r="AE22">
        <v>33</v>
      </c>
      <c r="AF22">
        <v>28</v>
      </c>
      <c r="AG22">
        <v>40</v>
      </c>
      <c r="AH22">
        <v>33</v>
      </c>
      <c r="AI22">
        <v>28</v>
      </c>
      <c r="AJ22">
        <v>39</v>
      </c>
      <c r="AK22">
        <v>32</v>
      </c>
      <c r="AL22">
        <v>27</v>
      </c>
      <c r="AM22">
        <v>37</v>
      </c>
      <c r="AN22">
        <v>31</v>
      </c>
      <c r="AO22">
        <v>27</v>
      </c>
      <c r="AQ22">
        <v>9</v>
      </c>
    </row>
    <row r="23" spans="1:63" x14ac:dyDescent="0.25">
      <c r="B23" t="s">
        <v>31</v>
      </c>
      <c r="C23" t="e">
        <f>VLOOKUP(C21,Model5235363199209[],3,FALSE)</f>
        <v>#N/A</v>
      </c>
      <c r="D23" t="s">
        <v>132</v>
      </c>
      <c r="I23">
        <v>10</v>
      </c>
      <c r="Z23">
        <v>10</v>
      </c>
      <c r="AA23">
        <v>39</v>
      </c>
      <c r="AB23">
        <v>31</v>
      </c>
      <c r="AC23">
        <v>25</v>
      </c>
      <c r="AD23">
        <v>38</v>
      </c>
      <c r="AE23">
        <v>30</v>
      </c>
      <c r="AF23">
        <v>25</v>
      </c>
      <c r="AG23">
        <v>37</v>
      </c>
      <c r="AH23">
        <v>30</v>
      </c>
      <c r="AI23">
        <v>25</v>
      </c>
      <c r="AJ23">
        <v>36</v>
      </c>
      <c r="AK23">
        <v>29</v>
      </c>
      <c r="AL23">
        <v>25</v>
      </c>
      <c r="AM23">
        <v>35</v>
      </c>
      <c r="AN23">
        <v>29</v>
      </c>
      <c r="AO23">
        <v>25</v>
      </c>
      <c r="AQ23">
        <v>10</v>
      </c>
    </row>
    <row r="24" spans="1:63" x14ac:dyDescent="0.25">
      <c r="B24" t="s">
        <v>3</v>
      </c>
      <c r="C24" s="11" t="e">
        <f t="array" ref="C24">INDEX(CUtable4225262198208[],MATCH(1,(CUtable4225262198208[RC]=C17)*(CUtable4225262198208[RW]=C18)*(CUtable4225262198208[FR]=E21),0),4)</f>
        <v>#VALUE!</v>
      </c>
      <c r="H24" s="5"/>
    </row>
    <row r="25" spans="1:63" x14ac:dyDescent="0.25">
      <c r="B25" t="s">
        <v>133</v>
      </c>
      <c r="C25" s="11">
        <f>VLOOKUP(E21,Table81217275767203213[],2,FALSE)</f>
        <v>0</v>
      </c>
      <c r="H25" s="5"/>
      <c r="I25" t="s">
        <v>217</v>
      </c>
      <c r="J25" t="e">
        <f>J26*J30^3+J27*J30^2+J28*J30+J29</f>
        <v>#VALUE!</v>
      </c>
      <c r="K25" t="e">
        <f t="shared" ref="K25:X25" si="0">(K26*K30^3)+(K27*K30^2)+(K28*K30)+K29</f>
        <v>#VALUE!</v>
      </c>
      <c r="L25" t="e">
        <f t="shared" si="0"/>
        <v>#VALUE!</v>
      </c>
      <c r="M25" t="e">
        <f t="shared" si="0"/>
        <v>#VALUE!</v>
      </c>
      <c r="N25" t="e">
        <f t="shared" si="0"/>
        <v>#VALUE!</v>
      </c>
      <c r="O25" t="e">
        <f t="shared" si="0"/>
        <v>#VALUE!</v>
      </c>
      <c r="P25" t="e">
        <f t="shared" si="0"/>
        <v>#VALUE!</v>
      </c>
      <c r="Q25" t="e">
        <f t="shared" si="0"/>
        <v>#VALUE!</v>
      </c>
      <c r="R25" t="e">
        <f t="shared" si="0"/>
        <v>#VALUE!</v>
      </c>
      <c r="S25" t="e">
        <f t="shared" si="0"/>
        <v>#VALUE!</v>
      </c>
      <c r="T25" t="e">
        <f t="shared" si="0"/>
        <v>#VALUE!</v>
      </c>
      <c r="U25" t="e">
        <f t="shared" si="0"/>
        <v>#VALUE!</v>
      </c>
      <c r="V25" t="e">
        <f t="shared" si="0"/>
        <v>#VALUE!</v>
      </c>
      <c r="W25" t="e">
        <f t="shared" si="0"/>
        <v>#VALUE!</v>
      </c>
      <c r="X25" t="e">
        <f t="shared" si="0"/>
        <v>#VALUE!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VLOOKUP(E21,Table81217275767203213[],3,FALSE)</f>
        <v>0</v>
      </c>
      <c r="H26" s="5"/>
      <c r="I26" t="s">
        <v>218</v>
      </c>
      <c r="J26" t="e">
        <f>INDEX(LINEST(TablePBL5161197207[CU],TablePBL5161197207[RCR]^{1,2,3}),1)</f>
        <v>#VALUE!</v>
      </c>
      <c r="K26" t="e">
        <f>INDEX(LINEST(TablePBL5161197207[CU1],TablePBL5161197207[RCR]^{1,2,3}),1)</f>
        <v>#VALUE!</v>
      </c>
      <c r="L26" t="e">
        <f>INDEX(LINEST(TablePBL5161197207[CU2],TablePBL5161197207[RCR]^{1,2,3}),1)</f>
        <v>#VALUE!</v>
      </c>
      <c r="M26" t="e">
        <f>INDEX(LINEST(TablePBL5161197207[CU3],TablePBL5161197207[RCR]^{1,2,3}),1)</f>
        <v>#VALUE!</v>
      </c>
      <c r="N26" t="e">
        <f>INDEX(LINEST(TablePBL5161197207[CU4],TablePBL5161197207[RCR]^{1,2,3}),1)</f>
        <v>#VALUE!</v>
      </c>
      <c r="O26" t="e">
        <f>INDEX(LINEST(TablePBL5161197207[CU5],TablePBL5161197207[RCR]^{1,2,3}),1)</f>
        <v>#VALUE!</v>
      </c>
      <c r="P26" t="e">
        <f>INDEX(LINEST(TablePBL5161197207[CU6],TablePBL5161197207[RCR]^{1,2,3}),1)</f>
        <v>#VALUE!</v>
      </c>
      <c r="Q26" t="e">
        <f>INDEX(LINEST(TablePBL5161197207[CU7],TablePBL5161197207[RCR]^{1,2,3}),1)</f>
        <v>#VALUE!</v>
      </c>
      <c r="R26" t="e">
        <f>INDEX(LINEST(TablePBL5161197207[CU8],TablePBL5161197207[RCR]^{1,2,3}),1)</f>
        <v>#VALUE!</v>
      </c>
      <c r="S26" t="e">
        <f>INDEX(LINEST(TablePBL5161197207[CU9],TablePBL5161197207[RCR]^{1,2,3}),1)</f>
        <v>#VALUE!</v>
      </c>
      <c r="T26" t="e">
        <f>INDEX(LINEST(TablePBL5161197207[CU10],TablePBL5161197207[RCR]^{1,2,3}),1)</f>
        <v>#VALUE!</v>
      </c>
      <c r="U26" t="e">
        <f>INDEX(LINEST(TablePBL5161197207[CU11],TablePBL5161197207[RCR]^{1,2,3}),1)</f>
        <v>#VALUE!</v>
      </c>
      <c r="V26" t="e">
        <f>INDEX(LINEST(TablePBL5161197207[CU12],TablePBL5161197207[RCR]^{1,2,3}),1)</f>
        <v>#VALUE!</v>
      </c>
      <c r="W26" t="e">
        <f>INDEX(LINEST(TablePBL5161197207[CU13],TablePBL5161197207[RCR]^{1,2,3}),1)</f>
        <v>#VALUE!</v>
      </c>
      <c r="X26" t="e">
        <f>INDEX(LINEST(TablePBL5161197207[CU14],TablePBL5161197207[RCR]^{1,2,3}),1)</f>
        <v>#VALUE!</v>
      </c>
      <c r="Z26" t="s">
        <v>218</v>
      </c>
      <c r="AA26">
        <f>INDEX(LINEST(TablePBLFR5868204214[CU],TablePBLFR5868204214[RCR]^{1,2,3}),1)</f>
        <v>-4.3512043512043692E-2</v>
      </c>
      <c r="AB26">
        <f>INDEX(LINEST(TablePBLFR5868204214[CU1],TablePBLFR5868204214[RCR]^{1,2,3}),1)</f>
        <v>-7.8088578088578539E-2</v>
      </c>
      <c r="AC26">
        <f>INDEX(LINEST(TablePBLFR5868204214[CU2],TablePBLFR5868204214[RCR]^{1,2,3}),1)</f>
        <v>-0.11344211344211405</v>
      </c>
      <c r="AD26">
        <f>INDEX(LINEST(TablePBLFR5868204214[CU3],TablePBLFR5868204214[RCR]^{1,2,3}),1)</f>
        <v>-4.9922299922300122E-2</v>
      </c>
      <c r="AE26">
        <f>INDEX(LINEST(TablePBLFR5868204214[CU4],TablePBLFR5868204214[RCR]^{1,2,3}),1)</f>
        <v>-8.3333333333333842E-2</v>
      </c>
      <c r="AF26">
        <f>INDEX(LINEST(TablePBLFR5868204214[CU5],TablePBLFR5868204214[RCR]^{1,2,3}),1)</f>
        <v>-0.11130536130536195</v>
      </c>
      <c r="AG26">
        <f>INDEX(LINEST(TablePBLFR5868204214[CU6],TablePBLFR5868204214[RCR]^{1,2,3}),1)</f>
        <v>-4.4483294483294689E-2</v>
      </c>
      <c r="AH26">
        <f>INDEX(LINEST(TablePBLFR5868204214[CU7],TablePBLFR5868204214[RCR]^{1,2,3}),1)</f>
        <v>-6.6045066045066048E-2</v>
      </c>
      <c r="AI26">
        <f>INDEX(LINEST(TablePBLFR5868204214[CU8],TablePBLFR5868204214[RCR]^{1,2,3}),1)</f>
        <v>-9.5571095571096068E-2</v>
      </c>
      <c r="AJ26">
        <f>INDEX(LINEST(TablePBLFR5868204214[CU9],TablePBLFR5868204214[RCR]^{1,2,3}),1)</f>
        <v>-4.3317793317793611E-2</v>
      </c>
      <c r="AK26">
        <f>INDEX(LINEST(TablePBLFR5868204214[CU10],TablePBLFR5868204214[RCR]^{1,2,3}),1)</f>
        <v>-6.1965811965812065E-2</v>
      </c>
      <c r="AL26">
        <f>INDEX(LINEST(TablePBLFR5868204214[CU11],TablePBLFR5868204214[RCR]^{1,2,3}),1)</f>
        <v>-7.7505827505828045E-2</v>
      </c>
      <c r="AM26">
        <f>INDEX(LINEST(TablePBLFR5868204214[CU12],TablePBLFR5868204214[RCR]^{1,2,3}),1)</f>
        <v>-3.8073038073038218E-2</v>
      </c>
      <c r="AN26">
        <f>INDEX(LINEST(TablePBLFR5868204214[CU13],TablePBLFR5868204214[RCR]^{1,2,3}),1)</f>
        <v>-4.8174048174048606E-2</v>
      </c>
      <c r="AO26">
        <f>INDEX(LINEST(TablePBLFR5868204214[CU14],TablePBLFR5868204214[RCR]^{1,2,3}),1)</f>
        <v>-6.3131313131313122E-2</v>
      </c>
      <c r="AQ26" t="s">
        <v>218</v>
      </c>
      <c r="AR26" t="e">
        <f>INDEX(LINEST(Table1x4306070206216[CU],Table1x4306070206216[RCR]^{1,2,3}),1)</f>
        <v>#VALUE!</v>
      </c>
      <c r="AS26" t="e">
        <f>INDEX(LINEST(Table1x4306070206216[CU1],Table1x4306070206216[RCR]^{1,2,3}),1)</f>
        <v>#VALUE!</v>
      </c>
      <c r="AT26" t="e">
        <f>INDEX(LINEST(Table1x4306070206216[CU2],Table1x4306070206216[RCR]^{1,2,3}),1)</f>
        <v>#VALUE!</v>
      </c>
      <c r="AU26" t="e">
        <f>INDEX(LINEST(Table1x4306070206216[CU3],Table1x4306070206216[RCR]^{1,2,3}),1)</f>
        <v>#VALUE!</v>
      </c>
      <c r="AV26" t="e">
        <f>INDEX(LINEST(Table1x4306070206216[CU4],Table1x4306070206216[RCR]^{1,2,3}),1)</f>
        <v>#VALUE!</v>
      </c>
      <c r="AW26" t="e">
        <f>INDEX(LINEST(Table1x4306070206216[CU5],Table1x4306070206216[RCR]^{1,2,3}),1)</f>
        <v>#VALUE!</v>
      </c>
      <c r="AX26" t="e">
        <f>INDEX(LINEST(Table1x4306070206216[CU6],Table1x4306070206216[RCR]^{1,2,3}),1)</f>
        <v>#VALUE!</v>
      </c>
      <c r="AY26" t="e">
        <f>INDEX(LINEST(Table1x4306070206216[CU7],Table1x4306070206216[RCR]^{1,2,3}),1)</f>
        <v>#VALUE!</v>
      </c>
      <c r="AZ26" t="e">
        <f>INDEX(LINEST(Table1x4306070206216[CU8],Table1x4306070206216[RCR]^{1,2,3}),1)</f>
        <v>#VALUE!</v>
      </c>
      <c r="BA26" t="e">
        <f>INDEX(LINEST(Table1x4306070206216[CU9],Table1x4306070206216[RCR]^{1,2,3}),1)</f>
        <v>#VALUE!</v>
      </c>
      <c r="BB26" t="e">
        <f>INDEX(LINEST(Table1x4306070206216[CU10],Table1x4306070206216[RCR]^{1,2,3}),1)</f>
        <v>#VALUE!</v>
      </c>
      <c r="BC26" t="e">
        <f>INDEX(LINEST(Table1x4306070206216[CU11],Table1x4306070206216[RCR]^{1,2,3}),1)</f>
        <v>#VALUE!</v>
      </c>
      <c r="BD26" t="e">
        <f>INDEX(LINEST(Table1x4306070206216[CU12],Table1x4306070206216[RCR]^{1,2,3}),1)</f>
        <v>#VALUE!</v>
      </c>
      <c r="BE26" t="e">
        <f>INDEX(LINEST(Table1x4306070206216[CU13],Table1x4306070206216[RCR]^{1,2,3}),1)</f>
        <v>#VALUE!</v>
      </c>
      <c r="BF26" t="e">
        <f>INDEX(LINEST(Table1x4306070206216[CU14],Table1x4306070206216[RCR]^{1,2,3}),1)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 t="e">
        <f t="array" ref="J27">INDEX(LINEST(TablePBL5161197207[CU],TablePBL5161197207[RCR]^{1,2,3}),1,2)</f>
        <v>#VALUE!</v>
      </c>
      <c r="K27" t="e">
        <f>INDEX(LINEST(TablePBL5161197207[CU1],TablePBL5161197207[RCR]^{1,2,3}),1,2)</f>
        <v>#VALUE!</v>
      </c>
      <c r="L27" t="e">
        <f>INDEX(LINEST(TablePBL5161197207[CU2],TablePBL5161197207[RCR]^{1,2,3}),1,2)</f>
        <v>#VALUE!</v>
      </c>
      <c r="M27" t="e">
        <f>INDEX(LINEST(TablePBL5161197207[CU3],TablePBL5161197207[RCR]^{1,2,3}),1,2)</f>
        <v>#VALUE!</v>
      </c>
      <c r="N27" t="e">
        <f>INDEX(LINEST(TablePBL5161197207[CU4],TablePBL5161197207[RCR]^{1,2,3}),1,2)</f>
        <v>#VALUE!</v>
      </c>
      <c r="O27" t="e">
        <f>INDEX(LINEST(TablePBL5161197207[CU5],TablePBL5161197207[RCR]^{1,2,3}),1,2)</f>
        <v>#VALUE!</v>
      </c>
      <c r="P27" t="e">
        <f>INDEX(LINEST(TablePBL5161197207[CU6],TablePBL5161197207[RCR]^{1,2,3}),1,2)</f>
        <v>#VALUE!</v>
      </c>
      <c r="Q27" t="e">
        <f>INDEX(LINEST(TablePBL5161197207[CU7],TablePBL5161197207[RCR]^{1,2,3}),1,2)</f>
        <v>#VALUE!</v>
      </c>
      <c r="R27" t="e">
        <f>INDEX(LINEST(TablePBL5161197207[CU8],TablePBL5161197207[RCR]^{1,2,3}),1,2)</f>
        <v>#VALUE!</v>
      </c>
      <c r="S27" t="e">
        <f>INDEX(LINEST(TablePBL5161197207[CU9],TablePBL5161197207[RCR]^{1,2,3}),1,2)</f>
        <v>#VALUE!</v>
      </c>
      <c r="T27" t="e">
        <f>INDEX(LINEST(TablePBL5161197207[CU10],TablePBL5161197207[RCR]^{1,2,3}),1,2)</f>
        <v>#VALUE!</v>
      </c>
      <c r="U27" t="e">
        <f>INDEX(LINEST(TablePBL5161197207[CU11],TablePBL5161197207[RCR]^{1,2,3}),1,2)</f>
        <v>#VALUE!</v>
      </c>
      <c r="V27" t="e">
        <f>INDEX(LINEST(TablePBL5161197207[CU12],TablePBL5161197207[RCR]^{1,2,3}),1,2)</f>
        <v>#VALUE!</v>
      </c>
      <c r="W27" t="e">
        <f>INDEX(LINEST(TablePBL5161197207[CU13],TablePBL5161197207[RCR]^{1,2,3}),1,2)</f>
        <v>#VALUE!</v>
      </c>
      <c r="X27" t="e">
        <f>INDEX(LINEST(TablePBL5161197207[CU14],TablePBL5161197207[RCR]^{1,2,3}),1,2)</f>
        <v>#VALUE!</v>
      </c>
      <c r="Z27" t="s">
        <v>219</v>
      </c>
      <c r="AA27">
        <f>INDEX(LINEST(TablePBLFR5868204214[CU],TablePBLFR5868204214[RCR]^{1,2,3}),1,2)</f>
        <v>1.3403263403263423</v>
      </c>
      <c r="AB27">
        <f>INDEX(LINEST(TablePBLFR5868204214[CU1],TablePBLFR5868204214[RCR]^{1,2,3}),1,2)</f>
        <v>2.0664335664335725</v>
      </c>
      <c r="AC27">
        <f>INDEX(LINEST(TablePBLFR5868204214[CU2],TablePBLFR5868204214[RCR]^{1,2,3}),1,2)</f>
        <v>2.7261072261072354</v>
      </c>
      <c r="AD27">
        <f>INDEX(LINEST(TablePBLFR5868204214[CU3],TablePBLFR5868204214[RCR]^{1,2,3}),1,2)</f>
        <v>1.4073426573426586</v>
      </c>
      <c r="AE27">
        <f>INDEX(LINEST(TablePBLFR5868204214[CU4],TablePBLFR5868204214[RCR]^{1,2,3}),1,2)</f>
        <v>2.0740093240093311</v>
      </c>
      <c r="AF27">
        <f>INDEX(LINEST(TablePBLFR5868204214[CU5],TablePBLFR5868204214[RCR]^{1,2,3}),1,2)</f>
        <v>2.669580419580428</v>
      </c>
      <c r="AG27">
        <f>INDEX(LINEST(TablePBLFR5868204214[CU6],TablePBLFR5868204214[RCR]^{1,2,3}),1,2)</f>
        <v>1.293123543123545</v>
      </c>
      <c r="AH27">
        <f>INDEX(LINEST(TablePBLFR5868204214[CU7],TablePBLFR5868204214[RCR]^{1,2,3}),1,2)</f>
        <v>1.7727272727272718</v>
      </c>
      <c r="AI27">
        <f>INDEX(LINEST(TablePBLFR5868204214[CU8],TablePBLFR5868204214[RCR]^{1,2,3}),1,2)</f>
        <v>2.35314685314686</v>
      </c>
      <c r="AJ27">
        <f>INDEX(LINEST(TablePBLFR5868204214[CU9],TablePBLFR5868204214[RCR]^{1,2,3}),1,2)</f>
        <v>1.238344988344992</v>
      </c>
      <c r="AK27">
        <f>INDEX(LINEST(TablePBLFR5868204214[CU10],TablePBLFR5868204214[RCR]^{1,2,3}),1,2)</f>
        <v>1.6404428904428909</v>
      </c>
      <c r="AL27">
        <f>INDEX(LINEST(TablePBLFR5868204214[CU11],TablePBLFR5868204214[RCR]^{1,2,3}),1,2)</f>
        <v>1.9982517482517557</v>
      </c>
      <c r="AM27">
        <f>INDEX(LINEST(TablePBLFR5868204214[CU12],TablePBLFR5868204214[RCR]^{1,2,3}),1,2)</f>
        <v>1.1305361305361317</v>
      </c>
      <c r="AN27">
        <f>INDEX(LINEST(TablePBLFR5868204214[CU13],TablePBLFR5868204214[RCR]^{1,2,3}),1,2)</f>
        <v>1.3881118881118943</v>
      </c>
      <c r="AO27">
        <f>INDEX(LINEST(TablePBLFR5868204214[CU14],TablePBLFR5868204214[RCR]^{1,2,3}),1,2)</f>
        <v>1.7127039627039617</v>
      </c>
      <c r="AQ27" t="s">
        <v>219</v>
      </c>
      <c r="AR27" t="e">
        <f>INDEX(LINEST(Table1x4306070206216[CU],Table1x4306070206216[RCR]^{1,2,3}),1,2)</f>
        <v>#VALUE!</v>
      </c>
      <c r="AS27" t="e">
        <f>INDEX(LINEST(Table1x4306070206216[CU1],Table1x4306070206216[RCR]^{1,2,3}),1,2)</f>
        <v>#VALUE!</v>
      </c>
      <c r="AT27" t="e">
        <f>INDEX(LINEST(Table1x4306070206216[CU2],Table1x4306070206216[RCR]^{1,2,3}),1,2)</f>
        <v>#VALUE!</v>
      </c>
      <c r="AU27" t="e">
        <f>INDEX(LINEST(Table1x4306070206216[CU3],Table1x4306070206216[RCR]^{1,2,3}),1,2)</f>
        <v>#VALUE!</v>
      </c>
      <c r="AV27" t="e">
        <f>INDEX(LINEST(Table1x4306070206216[CU4],Table1x4306070206216[RCR]^{1,2,3}),1,2)</f>
        <v>#VALUE!</v>
      </c>
      <c r="AW27" t="e">
        <f>INDEX(LINEST(Table1x4306070206216[CU5],Table1x4306070206216[RCR]^{1,2,3}),1,2)</f>
        <v>#VALUE!</v>
      </c>
      <c r="AX27" t="e">
        <f>INDEX(LINEST(Table1x4306070206216[CU6],Table1x4306070206216[RCR]^{1,2,3}),1,2)</f>
        <v>#VALUE!</v>
      </c>
      <c r="AY27" t="e">
        <f>INDEX(LINEST(Table1x4306070206216[CU7],Table1x4306070206216[RCR]^{1,2,3}),1,2)</f>
        <v>#VALUE!</v>
      </c>
      <c r="AZ27" t="e">
        <f>INDEX(LINEST(Table1x4306070206216[CU8],Table1x4306070206216[RCR]^{1,2,3}),1,2)</f>
        <v>#VALUE!</v>
      </c>
      <c r="BA27" t="e">
        <f>INDEX(LINEST(Table1x4306070206216[CU9],Table1x4306070206216[RCR]^{1,2,3}),1,2)</f>
        <v>#VALUE!</v>
      </c>
      <c r="BB27" t="e">
        <f>INDEX(LINEST(Table1x4306070206216[CU10],Table1x4306070206216[RCR]^{1,2,3}),1,2)</f>
        <v>#VALUE!</v>
      </c>
      <c r="BC27" t="e">
        <f>INDEX(LINEST(Table1x4306070206216[CU11],Table1x4306070206216[RCR]^{1,2,3}),1,2)</f>
        <v>#VALUE!</v>
      </c>
      <c r="BD27" t="e">
        <f>INDEX(LINEST(Table1x4306070206216[CU12],Table1x4306070206216[RCR]^{1,2,3}),1,2)</f>
        <v>#VALUE!</v>
      </c>
      <c r="BE27" t="e">
        <f>INDEX(LINEST(Table1x4306070206216[CU13],Table1x4306070206216[RCR]^{1,2,3}),1,2)</f>
        <v>#VALUE!</v>
      </c>
      <c r="BF27" t="e">
        <f>INDEX(LINEST(Table1x4306070206216[CU14],Table1x4306070206216[RCR]^{1,2,3}),1,2)</f>
        <v>#VALUE!</v>
      </c>
    </row>
    <row r="28" spans="1:63" x14ac:dyDescent="0.25">
      <c r="C28" s="3"/>
      <c r="H28" s="5"/>
      <c r="I28" t="s">
        <v>220</v>
      </c>
      <c r="J28" t="e">
        <f t="array" ref="J28">INDEX(LINEST(TablePBL5161197207[CU],TablePBL5161197207[RCR]^{1,2,3}),1,3)</f>
        <v>#VALUE!</v>
      </c>
      <c r="K28" t="e">
        <f>INDEX(LINEST(TablePBL5161197207[CU1],TablePBL5161197207[RCR]^{1,2,3}),1,3)</f>
        <v>#VALUE!</v>
      </c>
      <c r="L28" t="e">
        <f>INDEX(LINEST(TablePBL5161197207[CU2],TablePBL5161197207[RCR]^{1,2,3}),1,3)</f>
        <v>#VALUE!</v>
      </c>
      <c r="M28" t="e">
        <f>INDEX(LINEST(TablePBL5161197207[CU3],TablePBL5161197207[RCR]^{1,2,3}),1,3)</f>
        <v>#VALUE!</v>
      </c>
      <c r="N28" t="e">
        <f>INDEX(LINEST(TablePBL5161197207[CU4],TablePBL5161197207[RCR]^{1,2,3}),1,3)</f>
        <v>#VALUE!</v>
      </c>
      <c r="O28" t="e">
        <f>INDEX(LINEST(TablePBL5161197207[CU5],TablePBL5161197207[RCR]^{1,2,3}),1,3)</f>
        <v>#VALUE!</v>
      </c>
      <c r="P28" t="e">
        <f>INDEX(LINEST(TablePBL5161197207[CU6],TablePBL5161197207[RCR]^{1,2,3}),1,3)</f>
        <v>#VALUE!</v>
      </c>
      <c r="Q28" t="e">
        <f>INDEX(LINEST(TablePBL5161197207[CU7],TablePBL5161197207[RCR]^{1,2,3}),1,3)</f>
        <v>#VALUE!</v>
      </c>
      <c r="R28" t="e">
        <f>INDEX(LINEST(TablePBL5161197207[CU8],TablePBL5161197207[RCR]^{1,2,3}),1,3)</f>
        <v>#VALUE!</v>
      </c>
      <c r="S28" t="e">
        <f>INDEX(LINEST(TablePBL5161197207[CU9],TablePBL5161197207[RCR]^{1,2,3}),1,3)</f>
        <v>#VALUE!</v>
      </c>
      <c r="T28" t="e">
        <f>INDEX(LINEST(TablePBL5161197207[CU10],TablePBL5161197207[RCR]^{1,2,3}),1,3)</f>
        <v>#VALUE!</v>
      </c>
      <c r="U28" t="e">
        <f>INDEX(LINEST(TablePBL5161197207[CU11],TablePBL5161197207[RCR]^{1,2,3}),1,3)</f>
        <v>#VALUE!</v>
      </c>
      <c r="V28" t="e">
        <f>INDEX(LINEST(TablePBL5161197207[CU12],TablePBL5161197207[RCR]^{1,2,3}),1,3)</f>
        <v>#VALUE!</v>
      </c>
      <c r="W28" t="e">
        <f>INDEX(LINEST(TablePBL5161197207[CU13],TablePBL5161197207[RCR]^{1,2,3}),1,3)</f>
        <v>#VALUE!</v>
      </c>
      <c r="X28" t="e">
        <f>INDEX(LINEST(TablePBL5161197207[CU14],TablePBL5161197207[RCR]^{1,2,3}),1,3)</f>
        <v>#VALUE!</v>
      </c>
      <c r="Z28" t="s">
        <v>220</v>
      </c>
      <c r="AA28">
        <f>INDEX(LINEST(TablePBLFR5868204214[CU],TablePBLFR5868204214[RCR]^{1,2,3}),1,3)</f>
        <v>-16.947163947163947</v>
      </c>
      <c r="AB28">
        <f>INDEX(LINEST(TablePBLFR5868204214[CU1],TablePBLFR5868204214[RCR]^{1,2,3}),1,3)</f>
        <v>-21.526806526806546</v>
      </c>
      <c r="AC28">
        <f>INDEX(LINEST(TablePBLFR5868204214[CU2],TablePBLFR5868204214[RCR]^{1,2,3}),1,3)</f>
        <v>-25.179098679098711</v>
      </c>
      <c r="AD28">
        <f>INDEX(LINEST(TablePBLFR5868204214[CU3],TablePBLFR5868204214[RCR]^{1,2,3}),1,3)</f>
        <v>-16.777000777000769</v>
      </c>
      <c r="AE28">
        <f>INDEX(LINEST(TablePBLFR5868204214[CU4],TablePBLFR5868204214[RCR]^{1,2,3}),1,3)</f>
        <v>-20.906759906759927</v>
      </c>
      <c r="AF28">
        <f>INDEX(LINEST(TablePBLFR5868204214[CU5],TablePBLFR5868204214[RCR]^{1,2,3}),1,3)</f>
        <v>-24.530303030303056</v>
      </c>
      <c r="AG28">
        <f>INDEX(LINEST(TablePBLFR5868204214[CU6],TablePBLFR5868204214[RCR]^{1,2,3}),1,3)</f>
        <v>-15.703185703185699</v>
      </c>
      <c r="AH28">
        <f>INDEX(LINEST(TablePBLFR5868204214[CU7],TablePBLFR5868204214[RCR]^{1,2,3}),1,3)</f>
        <v>-19.007381507381492</v>
      </c>
      <c r="AI28">
        <f>INDEX(LINEST(TablePBLFR5868204214[CU8],TablePBLFR5868204214[RCR]^{1,2,3}),1,3)</f>
        <v>-22.362470862470882</v>
      </c>
      <c r="AJ28">
        <f>INDEX(LINEST(TablePBLFR5868204214[CU9],TablePBLFR5868204214[RCR]^{1,2,3}),1,3)</f>
        <v>-14.845376845376855</v>
      </c>
      <c r="AK28">
        <f>INDEX(LINEST(TablePBLFR5868204214[CU10],TablePBLFR5868204214[RCR]^{1,2,3}),1,3)</f>
        <v>-17.690365190365181</v>
      </c>
      <c r="AL28">
        <f>INDEX(LINEST(TablePBLFR5868204214[CU11],TablePBLFR5868204214[RCR]^{1,2,3}),1,3)</f>
        <v>-20.14452214452217</v>
      </c>
      <c r="AM28">
        <f>INDEX(LINEST(TablePBLFR5868204214[CU12],TablePBLFR5868204214[RCR]^{1,2,3}),1,3)</f>
        <v>-13.917637917637915</v>
      </c>
      <c r="AN28">
        <f>INDEX(LINEST(TablePBLFR5868204214[CU13],TablePBLFR5868204214[RCR]^{1,2,3}),1,3)</f>
        <v>-16.074203574203594</v>
      </c>
      <c r="AO28">
        <f>INDEX(LINEST(TablePBLFR5868204214[CU14],TablePBLFR5868204214[RCR]^{1,2,3}),1,3)</f>
        <v>-18.22299922299921</v>
      </c>
      <c r="AQ28" t="s">
        <v>220</v>
      </c>
      <c r="AR28" t="e">
        <f>INDEX(LINEST(Table1x4306070206216[CU],Table1x4306070206216[RCR]^{1,2,3}),1,3)</f>
        <v>#VALUE!</v>
      </c>
      <c r="AS28" t="e">
        <f>INDEX(LINEST(Table1x4306070206216[CU1],Table1x4306070206216[RCR]^{1,2,3}),1,3)</f>
        <v>#VALUE!</v>
      </c>
      <c r="AT28" t="e">
        <f>INDEX(LINEST(Table1x4306070206216[CU2],Table1x4306070206216[RCR]^{1,2,3}),1,3)</f>
        <v>#VALUE!</v>
      </c>
      <c r="AU28" t="e">
        <f>INDEX(LINEST(Table1x4306070206216[CU3],Table1x4306070206216[RCR]^{1,2,3}),1,3)</f>
        <v>#VALUE!</v>
      </c>
      <c r="AV28" t="e">
        <f>INDEX(LINEST(Table1x4306070206216[CU4],Table1x4306070206216[RCR]^{1,2,3}),1,3)</f>
        <v>#VALUE!</v>
      </c>
      <c r="AW28" t="e">
        <f>INDEX(LINEST(Table1x4306070206216[CU5],Table1x4306070206216[RCR]^{1,2,3}),1,3)</f>
        <v>#VALUE!</v>
      </c>
      <c r="AX28" t="e">
        <f>INDEX(LINEST(Table1x4306070206216[CU6],Table1x4306070206216[RCR]^{1,2,3}),1,3)</f>
        <v>#VALUE!</v>
      </c>
      <c r="AY28" t="e">
        <f>INDEX(LINEST(Table1x4306070206216[CU7],Table1x4306070206216[RCR]^{1,2,3}),1,3)</f>
        <v>#VALUE!</v>
      </c>
      <c r="AZ28" t="e">
        <f>INDEX(LINEST(Table1x4306070206216[CU8],Table1x4306070206216[RCR]^{1,2,3}),1,3)</f>
        <v>#VALUE!</v>
      </c>
      <c r="BA28" t="e">
        <f>INDEX(LINEST(Table1x4306070206216[CU9],Table1x4306070206216[RCR]^{1,2,3}),1,3)</f>
        <v>#VALUE!</v>
      </c>
      <c r="BB28" t="e">
        <f>INDEX(LINEST(Table1x4306070206216[CU10],Table1x4306070206216[RCR]^{1,2,3}),1,3)</f>
        <v>#VALUE!</v>
      </c>
      <c r="BC28" t="e">
        <f>INDEX(LINEST(Table1x4306070206216[CU11],Table1x4306070206216[RCR]^{1,2,3}),1,3)</f>
        <v>#VALUE!</v>
      </c>
      <c r="BD28" t="e">
        <f>INDEX(LINEST(Table1x4306070206216[CU12],Table1x4306070206216[RCR]^{1,2,3}),1,3)</f>
        <v>#VALUE!</v>
      </c>
      <c r="BE28" t="e">
        <f>INDEX(LINEST(Table1x4306070206216[CU13],Table1x4306070206216[RCR]^{1,2,3}),1,3)</f>
        <v>#VALUE!</v>
      </c>
      <c r="BF28" t="e">
        <f>INDEX(LINEST(Table1x4306070206216[CU14],Table1x4306070206216[RCR]^{1,2,3}),1,3)</f>
        <v>#VALUE!</v>
      </c>
    </row>
    <row r="29" spans="1:63" x14ac:dyDescent="0.25">
      <c r="C29" s="3"/>
      <c r="H29" s="5"/>
      <c r="I29" t="s">
        <v>221</v>
      </c>
      <c r="J29" t="e">
        <f>INDEX(LINEST(TablePBL5161197207[CU],TablePBL5161197207[RCR]^{1,2,3}),1,4)</f>
        <v>#VALUE!</v>
      </c>
      <c r="K29" t="e">
        <f>INDEX(LINEST(TablePBL5161197207[CU1],TablePBL5161197207[RCR]^{1,2,3}),1,4)</f>
        <v>#VALUE!</v>
      </c>
      <c r="L29" t="e">
        <f>INDEX(LINEST(TablePBL5161197207[CU2],TablePBL5161197207[RCR]^{1,2,3}),1,4)</f>
        <v>#VALUE!</v>
      </c>
      <c r="M29" t="e">
        <f>INDEX(LINEST(TablePBL5161197207[CU3],TablePBL5161197207[RCR]^{1,2,3}),1,4)</f>
        <v>#VALUE!</v>
      </c>
      <c r="N29" t="e">
        <f>INDEX(LINEST(TablePBL5161197207[CU4],TablePBL5161197207[RCR]^{1,2,3}),1,4)</f>
        <v>#VALUE!</v>
      </c>
      <c r="O29" t="e">
        <f>INDEX(LINEST(TablePBL5161197207[CU5],TablePBL5161197207[RCR]^{1,2,3}),1,4)</f>
        <v>#VALUE!</v>
      </c>
      <c r="P29" t="e">
        <f>INDEX(LINEST(TablePBL5161197207[CU6],TablePBL5161197207[RCR]^{1,2,3}),1,4)</f>
        <v>#VALUE!</v>
      </c>
      <c r="Q29" t="e">
        <f>INDEX(LINEST(TablePBL5161197207[CU7],TablePBL5161197207[RCR]^{1,2,3}),1,4)</f>
        <v>#VALUE!</v>
      </c>
      <c r="R29" t="e">
        <f>INDEX(LINEST(TablePBL5161197207[CU8],TablePBL5161197207[RCR]^{1,2,3}),1,4)</f>
        <v>#VALUE!</v>
      </c>
      <c r="S29" t="e">
        <f>INDEX(LINEST(TablePBL5161197207[CU9],TablePBL5161197207[RCR]^{1,2,3}),1,4)</f>
        <v>#VALUE!</v>
      </c>
      <c r="T29" t="e">
        <f>INDEX(LINEST(TablePBL5161197207[CU10],TablePBL5161197207[RCR]^{1,2,3}),1,4)</f>
        <v>#VALUE!</v>
      </c>
      <c r="U29" t="e">
        <f>INDEX(LINEST(TablePBL5161197207[CU11],TablePBL5161197207[RCR]^{1,2,3}),1,4)</f>
        <v>#VALUE!</v>
      </c>
      <c r="V29" t="e">
        <f>INDEX(LINEST(TablePBL5161197207[CU12],TablePBL5161197207[RCR]^{1,2,3}),1,4)</f>
        <v>#VALUE!</v>
      </c>
      <c r="W29" t="e">
        <f>INDEX(LINEST(TablePBL5161197207[CU13],TablePBL5161197207[RCR]^{1,2,3}),1,4)</f>
        <v>#VALUE!</v>
      </c>
      <c r="X29" t="e">
        <f>INDEX(LINEST(TablePBL5161197207[CU14],TablePBL5161197207[RCR]^{1,2,3}),1,4)</f>
        <v>#VALUE!</v>
      </c>
      <c r="Z29" t="s">
        <v>221</v>
      </c>
      <c r="AA29">
        <f>INDEX(LINEST(TablePBLFR5868204214[CU],TablePBLFR5868204214[RCR]^{1,2,3}),1,4)</f>
        <v>117.88111888111885</v>
      </c>
      <c r="AB29">
        <f>INDEX(LINEST(TablePBLFR5868204214[CU1],TablePBLFR5868204214[RCR]^{1,2,3}),1,4)</f>
        <v>117.41958041958043</v>
      </c>
      <c r="AC29">
        <f>INDEX(LINEST(TablePBLFR5868204214[CU2],TablePBLFR5868204214[RCR]^{1,2,3}),1,4)</f>
        <v>116.95104895104896</v>
      </c>
      <c r="AD29">
        <f>INDEX(LINEST(TablePBLFR5868204214[CU3],TablePBLFR5868204214[RCR]^{1,2,3}),1,4)</f>
        <v>114.72027972027968</v>
      </c>
      <c r="AE29">
        <f>INDEX(LINEST(TablePBLFR5868204214[CU4],TablePBLFR5868204214[RCR]^{1,2,3}),1,4)</f>
        <v>114.49650349650349</v>
      </c>
      <c r="AF29">
        <f>INDEX(LINEST(TablePBLFR5868204214[CU5],TablePBLFR5868204214[RCR]^{1,2,3}),1,4)</f>
        <v>114.09790209790211</v>
      </c>
      <c r="AG29">
        <f>INDEX(LINEST(TablePBLFR5868204214[CU6],TablePBLFR5868204214[RCR]^{1,2,3}),1,4)</f>
        <v>109.03496503496498</v>
      </c>
      <c r="AH29">
        <f>INDEX(LINEST(TablePBLFR5868204214[CU7],TablePBLFR5868204214[RCR]^{1,2,3}),1,4)</f>
        <v>108.69930069930066</v>
      </c>
      <c r="AI29">
        <f>INDEX(LINEST(TablePBLFR5868204214[CU8],TablePBLFR5868204214[RCR]^{1,2,3}),1,4)</f>
        <v>108.55244755244755</v>
      </c>
      <c r="AJ29">
        <f>INDEX(LINEST(TablePBLFR5868204214[CU9],TablePBLFR5868204214[RCR]^{1,2,3}),1,4)</f>
        <v>103.88811188811189</v>
      </c>
      <c r="AK29">
        <f>INDEX(LINEST(TablePBLFR5868204214[CU10],TablePBLFR5868204214[RCR]^{1,2,3}),1,4)</f>
        <v>103.6223776223776</v>
      </c>
      <c r="AL29">
        <f>INDEX(LINEST(TablePBLFR5868204214[CU11],TablePBLFR5868204214[RCR]^{1,2,3}),1,4)</f>
        <v>103.55244755244756</v>
      </c>
      <c r="AM29">
        <f>INDEX(LINEST(TablePBLFR5868204214[CU12],TablePBLFR5868204214[RCR]^{1,2,3}),1,4)</f>
        <v>98.853146853146853</v>
      </c>
      <c r="AN29">
        <f>INDEX(LINEST(TablePBLFR5868204214[CU13],TablePBLFR5868204214[RCR]^{1,2,3}),1,4)</f>
        <v>98.76223776223776</v>
      </c>
      <c r="AO29">
        <f>INDEX(LINEST(TablePBLFR5868204214[CU14],TablePBLFR5868204214[RCR]^{1,2,3}),1,4)</f>
        <v>98.713286713286692</v>
      </c>
      <c r="AQ29" t="s">
        <v>221</v>
      </c>
      <c r="AR29" t="e">
        <f>INDEX(LINEST(Table1x4306070206216[CU],Table1x4306070206216[RCR]^{1,2,3}),1,4)</f>
        <v>#VALUE!</v>
      </c>
      <c r="AS29" t="e">
        <f>INDEX(LINEST(Table1x4306070206216[CU1],Table1x4306070206216[RCR]^{1,2,3}),1,4)</f>
        <v>#VALUE!</v>
      </c>
      <c r="AT29" t="e">
        <f>INDEX(LINEST(Table1x4306070206216[CU2],Table1x4306070206216[RCR]^{1,2,3}),1,4)</f>
        <v>#VALUE!</v>
      </c>
      <c r="AU29" t="e">
        <f>INDEX(LINEST(Table1x4306070206216[CU3],Table1x4306070206216[RCR]^{1,2,3}),1,4)</f>
        <v>#VALUE!</v>
      </c>
      <c r="AV29" t="e">
        <f>INDEX(LINEST(Table1x4306070206216[CU4],Table1x4306070206216[RCR]^{1,2,3}),1,4)</f>
        <v>#VALUE!</v>
      </c>
      <c r="AW29" t="e">
        <f>INDEX(LINEST(Table1x4306070206216[CU5],Table1x4306070206216[RCR]^{1,2,3}),1,4)</f>
        <v>#VALUE!</v>
      </c>
      <c r="AX29" t="e">
        <f>INDEX(LINEST(Table1x4306070206216[CU6],Table1x4306070206216[RCR]^{1,2,3}),1,4)</f>
        <v>#VALUE!</v>
      </c>
      <c r="AY29" t="e">
        <f>INDEX(LINEST(Table1x4306070206216[CU7],Table1x4306070206216[RCR]^{1,2,3}),1,4)</f>
        <v>#VALUE!</v>
      </c>
      <c r="AZ29" t="e">
        <f>INDEX(LINEST(Table1x4306070206216[CU8],Table1x4306070206216[RCR]^{1,2,3}),1,4)</f>
        <v>#VALUE!</v>
      </c>
      <c r="BA29" t="e">
        <f>INDEX(LINEST(Table1x4306070206216[CU9],Table1x4306070206216[RCR]^{1,2,3}),1,4)</f>
        <v>#VALUE!</v>
      </c>
      <c r="BB29" t="e">
        <f>INDEX(LINEST(Table1x4306070206216[CU10],Table1x4306070206216[RCR]^{1,2,3}),1,4)</f>
        <v>#VALUE!</v>
      </c>
      <c r="BC29" t="e">
        <f>INDEX(LINEST(Table1x4306070206216[CU11],Table1x4306070206216[RCR]^{1,2,3}),1,4)</f>
        <v>#VALUE!</v>
      </c>
      <c r="BD29" t="e">
        <f>INDEX(LINEST(Table1x4306070206216[CU12],Table1x4306070206216[RCR]^{1,2,3}),1,4)</f>
        <v>#VALUE!</v>
      </c>
      <c r="BE29" t="e">
        <f>INDEX(LINEST(Table1x4306070206216[CU13],Table1x4306070206216[RCR]^{1,2,3}),1,4)</f>
        <v>#VALUE!</v>
      </c>
      <c r="BF29" t="e">
        <f>INDEX(LINEST(Table1x4306070206216[CU14],Table1x4306070206216[RCR]^{1,2,3}),1,4)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114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116</v>
      </c>
      <c r="L33" t="e">
        <f>J25</f>
        <v>#VALUE!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116</v>
      </c>
      <c r="L34" t="e">
        <f>K25</f>
        <v>#VALUE!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116</v>
      </c>
      <c r="L35" t="e">
        <f>L25</f>
        <v>#VALUE!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116</v>
      </c>
      <c r="L36" t="e">
        <f>M25</f>
        <v>#VALUE!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116</v>
      </c>
      <c r="L37" t="e">
        <f>N25</f>
        <v>#VALUE!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116</v>
      </c>
      <c r="L38" t="e">
        <f>O25</f>
        <v>#VALUE!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116</v>
      </c>
      <c r="L39" t="e">
        <f>P25</f>
        <v>#VALUE!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116</v>
      </c>
      <c r="L40" t="e">
        <f>Q25</f>
        <v>#VALUE!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116</v>
      </c>
      <c r="L41" t="e">
        <f>R25</f>
        <v>#VALUE!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116</v>
      </c>
      <c r="L42" t="e">
        <f>S25</f>
        <v>#VALUE!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116</v>
      </c>
      <c r="L43" t="e">
        <f>T25</f>
        <v>#VALUE!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0</v>
      </c>
      <c r="F44" s="12">
        <f>E44*(C14-C15)</f>
        <v>0</v>
      </c>
      <c r="H44" t="s">
        <v>25</v>
      </c>
      <c r="I44">
        <v>30</v>
      </c>
      <c r="J44">
        <v>10</v>
      </c>
      <c r="K44" t="s">
        <v>116</v>
      </c>
      <c r="L44" t="e">
        <f>U25</f>
        <v>#VALUE!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0</v>
      </c>
      <c r="F45" s="12">
        <f>E45*(C14-C15)</f>
        <v>0</v>
      </c>
      <c r="H45" t="s">
        <v>27</v>
      </c>
      <c r="I45">
        <v>10</v>
      </c>
      <c r="J45">
        <v>50</v>
      </c>
      <c r="K45" t="s">
        <v>116</v>
      </c>
      <c r="L45" t="e">
        <f>V25</f>
        <v>#VALUE!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116</v>
      </c>
      <c r="L46" t="e">
        <f>W25</f>
        <v>#VALUE!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116</v>
      </c>
      <c r="L47" t="e">
        <f>X25</f>
        <v>#VALUE!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s="20" t="s">
        <v>13</v>
      </c>
      <c r="I48" s="20">
        <v>80</v>
      </c>
      <c r="J48" s="20">
        <v>50</v>
      </c>
      <c r="K48" s="20" t="s">
        <v>115</v>
      </c>
      <c r="L48" s="20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115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 t="s">
        <v>115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 t="s">
        <v>115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115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115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115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115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115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115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 t="s">
        <v>115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 t="s">
        <v>115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 t="s">
        <v>115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 t="s">
        <v>115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 t="s">
        <v>115</v>
      </c>
      <c r="L62" t="e">
        <f>AO25</f>
        <v>#DIV/0!</v>
      </c>
    </row>
    <row r="63" spans="1:12" x14ac:dyDescent="0.25">
      <c r="H63" s="20" t="s">
        <v>13</v>
      </c>
      <c r="I63" s="20">
        <v>80</v>
      </c>
      <c r="J63" s="20">
        <v>50</v>
      </c>
      <c r="K63" s="20"/>
      <c r="L63" s="20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2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2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2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2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2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2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2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2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2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2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2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2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2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114</v>
      </c>
      <c r="S80" t="s">
        <v>135</v>
      </c>
      <c r="T80" t="s">
        <v>136</v>
      </c>
      <c r="V80" t="s">
        <v>138</v>
      </c>
    </row>
    <row r="81" spans="9:22" x14ac:dyDescent="0.25">
      <c r="I81" t="s">
        <v>1289</v>
      </c>
      <c r="J81" s="5">
        <v>2194</v>
      </c>
      <c r="K81" s="18">
        <v>15</v>
      </c>
      <c r="N81">
        <v>80</v>
      </c>
      <c r="O81">
        <v>50</v>
      </c>
      <c r="P81">
        <v>20</v>
      </c>
      <c r="R81" t="s">
        <v>115</v>
      </c>
      <c r="S81">
        <v>1.26</v>
      </c>
      <c r="T81">
        <v>1.3</v>
      </c>
      <c r="V81">
        <v>0</v>
      </c>
    </row>
    <row r="82" spans="9:22" x14ac:dyDescent="0.25">
      <c r="I82" t="s">
        <v>1290</v>
      </c>
      <c r="J82" s="5">
        <v>2914</v>
      </c>
      <c r="K82" s="18">
        <v>20</v>
      </c>
      <c r="N82">
        <v>70</v>
      </c>
      <c r="O82">
        <v>30</v>
      </c>
      <c r="R82" t="s">
        <v>116</v>
      </c>
      <c r="S82" s="11"/>
      <c r="V82">
        <v>90</v>
      </c>
    </row>
    <row r="83" spans="9:22" x14ac:dyDescent="0.25">
      <c r="I83" t="s">
        <v>1291</v>
      </c>
      <c r="J83" s="5">
        <v>4000</v>
      </c>
      <c r="K83" s="18">
        <v>28</v>
      </c>
      <c r="N83">
        <v>50</v>
      </c>
      <c r="O83">
        <v>10</v>
      </c>
    </row>
    <row r="84" spans="9:22" x14ac:dyDescent="0.25">
      <c r="I84" t="s">
        <v>1292</v>
      </c>
      <c r="J84" s="5">
        <v>4850</v>
      </c>
      <c r="K84" s="18">
        <v>34</v>
      </c>
      <c r="N84">
        <v>30</v>
      </c>
    </row>
    <row r="85" spans="9:22" x14ac:dyDescent="0.25">
      <c r="I85" t="s">
        <v>1293</v>
      </c>
      <c r="J85" s="5">
        <v>6087</v>
      </c>
      <c r="K85" s="18">
        <v>44</v>
      </c>
      <c r="N85">
        <v>10</v>
      </c>
    </row>
    <row r="86" spans="9:22" x14ac:dyDescent="0.25">
      <c r="I86" t="s">
        <v>1294</v>
      </c>
      <c r="J86" s="5">
        <v>7887</v>
      </c>
      <c r="K86" s="18">
        <v>60</v>
      </c>
    </row>
    <row r="87" spans="9:22" x14ac:dyDescent="0.25">
      <c r="I87" t="s">
        <v>1295</v>
      </c>
      <c r="J87" s="5">
        <v>3945</v>
      </c>
      <c r="K87" s="18">
        <v>26</v>
      </c>
    </row>
    <row r="88" spans="9:22" x14ac:dyDescent="0.25">
      <c r="I88" t="s">
        <v>1296</v>
      </c>
      <c r="J88" s="5">
        <v>5948</v>
      </c>
      <c r="K88" s="18">
        <v>40</v>
      </c>
    </row>
    <row r="89" spans="9:22" x14ac:dyDescent="0.25">
      <c r="I89" t="s">
        <v>1297</v>
      </c>
      <c r="J89" s="5">
        <v>7867</v>
      </c>
      <c r="K89" s="18">
        <v>54</v>
      </c>
    </row>
    <row r="90" spans="9:22" x14ac:dyDescent="0.25">
      <c r="I90" t="s">
        <v>1298</v>
      </c>
      <c r="J90" s="5">
        <v>9701</v>
      </c>
      <c r="K90" s="18">
        <v>68</v>
      </c>
    </row>
    <row r="91" spans="9:22" x14ac:dyDescent="0.25">
      <c r="I91" t="s">
        <v>1299</v>
      </c>
      <c r="J91" s="5">
        <v>11814</v>
      </c>
      <c r="K91" s="18">
        <v>85</v>
      </c>
    </row>
    <row r="92" spans="9:22" x14ac:dyDescent="0.25">
      <c r="I92" t="s">
        <v>1300</v>
      </c>
      <c r="J92" s="5">
        <v>15773</v>
      </c>
      <c r="K92" s="18">
        <v>120</v>
      </c>
    </row>
    <row r="93" spans="9:22" x14ac:dyDescent="0.25">
      <c r="I93" t="s">
        <v>1301</v>
      </c>
      <c r="J93" s="5">
        <v>2262</v>
      </c>
      <c r="K93" s="18">
        <v>15</v>
      </c>
    </row>
    <row r="94" spans="9:22" x14ac:dyDescent="0.25">
      <c r="I94" t="s">
        <v>1302</v>
      </c>
      <c r="J94" s="5">
        <v>3004</v>
      </c>
      <c r="K94" s="18">
        <v>20</v>
      </c>
    </row>
    <row r="95" spans="9:22" x14ac:dyDescent="0.25">
      <c r="I95" t="s">
        <v>1303</v>
      </c>
      <c r="J95" s="5">
        <v>4124</v>
      </c>
      <c r="K95" s="18">
        <v>28</v>
      </c>
    </row>
    <row r="96" spans="9:22" x14ac:dyDescent="0.25">
      <c r="I96" t="s">
        <v>1304</v>
      </c>
      <c r="J96" s="5">
        <v>5000</v>
      </c>
      <c r="K96" s="18">
        <v>34</v>
      </c>
    </row>
    <row r="97" spans="9:11" x14ac:dyDescent="0.25">
      <c r="I97" t="s">
        <v>1305</v>
      </c>
      <c r="J97" s="5">
        <v>6275</v>
      </c>
      <c r="K97" s="18">
        <v>44</v>
      </c>
    </row>
    <row r="98" spans="9:11" x14ac:dyDescent="0.25">
      <c r="I98" t="s">
        <v>1306</v>
      </c>
      <c r="J98" s="5">
        <v>8131</v>
      </c>
      <c r="K98" s="18">
        <v>60</v>
      </c>
    </row>
    <row r="99" spans="9:11" x14ac:dyDescent="0.25">
      <c r="I99" t="s">
        <v>1307</v>
      </c>
      <c r="J99" s="5">
        <v>4067</v>
      </c>
      <c r="K99" s="18">
        <v>26</v>
      </c>
    </row>
    <row r="100" spans="9:11" x14ac:dyDescent="0.25">
      <c r="I100" t="s">
        <v>1308</v>
      </c>
      <c r="J100" s="5">
        <v>6132</v>
      </c>
      <c r="K100" s="18">
        <v>40</v>
      </c>
    </row>
    <row r="101" spans="9:11" x14ac:dyDescent="0.25">
      <c r="I101" t="s">
        <v>1309</v>
      </c>
      <c r="J101" s="5">
        <v>8110</v>
      </c>
      <c r="K101" s="18">
        <v>54</v>
      </c>
    </row>
    <row r="102" spans="9:11" x14ac:dyDescent="0.25">
      <c r="I102" t="s">
        <v>1310</v>
      </c>
      <c r="J102" s="5">
        <v>10001</v>
      </c>
      <c r="K102" s="18">
        <v>68</v>
      </c>
    </row>
    <row r="103" spans="9:11" x14ac:dyDescent="0.25">
      <c r="I103" t="s">
        <v>1311</v>
      </c>
      <c r="J103" s="5">
        <v>12180</v>
      </c>
      <c r="K103" s="18">
        <v>85</v>
      </c>
    </row>
    <row r="104" spans="9:11" x14ac:dyDescent="0.25">
      <c r="I104" t="s">
        <v>1312</v>
      </c>
      <c r="J104" s="5">
        <v>16261</v>
      </c>
      <c r="K104" s="18">
        <v>120</v>
      </c>
    </row>
    <row r="105" spans="9:11" x14ac:dyDescent="0.25">
      <c r="I105" t="s">
        <v>1313</v>
      </c>
      <c r="J105" s="5">
        <v>2330</v>
      </c>
      <c r="K105" s="18">
        <v>15</v>
      </c>
    </row>
    <row r="106" spans="9:11" x14ac:dyDescent="0.25">
      <c r="I106" t="s">
        <v>1314</v>
      </c>
      <c r="J106" s="5">
        <v>3094</v>
      </c>
      <c r="K106" s="18">
        <v>20</v>
      </c>
    </row>
    <row r="107" spans="9:11" x14ac:dyDescent="0.25">
      <c r="I107" t="s">
        <v>1315</v>
      </c>
      <c r="J107" s="5">
        <v>4248</v>
      </c>
      <c r="K107" s="18">
        <v>28</v>
      </c>
    </row>
    <row r="108" spans="9:11" x14ac:dyDescent="0.25">
      <c r="I108" t="s">
        <v>1316</v>
      </c>
      <c r="J108" s="5">
        <v>5150</v>
      </c>
      <c r="K108" s="18">
        <v>34</v>
      </c>
    </row>
    <row r="109" spans="9:11" x14ac:dyDescent="0.25">
      <c r="I109" t="s">
        <v>1317</v>
      </c>
      <c r="J109" s="5">
        <v>6464</v>
      </c>
      <c r="K109" s="18">
        <v>44</v>
      </c>
    </row>
    <row r="110" spans="9:11" x14ac:dyDescent="0.25">
      <c r="I110" t="s">
        <v>1318</v>
      </c>
      <c r="J110" s="5">
        <v>8374</v>
      </c>
      <c r="K110" s="18">
        <v>60</v>
      </c>
    </row>
    <row r="111" spans="9:11" x14ac:dyDescent="0.25">
      <c r="I111" t="s">
        <v>1319</v>
      </c>
      <c r="J111" s="5">
        <v>4189</v>
      </c>
      <c r="K111" s="18">
        <v>26</v>
      </c>
    </row>
    <row r="112" spans="9:11" x14ac:dyDescent="0.25">
      <c r="I112" t="s">
        <v>1320</v>
      </c>
      <c r="J112" s="5">
        <v>6316</v>
      </c>
      <c r="K112" s="18">
        <v>40</v>
      </c>
    </row>
    <row r="113" spans="9:11" x14ac:dyDescent="0.25">
      <c r="I113" t="s">
        <v>1321</v>
      </c>
      <c r="J113" s="5">
        <v>8353</v>
      </c>
      <c r="K113" s="18">
        <v>54</v>
      </c>
    </row>
    <row r="114" spans="9:11" x14ac:dyDescent="0.25">
      <c r="I114" t="s">
        <v>1322</v>
      </c>
      <c r="J114" s="5">
        <v>10301</v>
      </c>
      <c r="K114" s="18">
        <v>68</v>
      </c>
    </row>
    <row r="115" spans="9:11" x14ac:dyDescent="0.25">
      <c r="I115" t="s">
        <v>1323</v>
      </c>
      <c r="J115" s="5">
        <v>12545</v>
      </c>
      <c r="K115" s="18">
        <v>85</v>
      </c>
    </row>
    <row r="116" spans="9:11" x14ac:dyDescent="0.25">
      <c r="I116" t="s">
        <v>1324</v>
      </c>
      <c r="J116" s="5">
        <v>16749</v>
      </c>
      <c r="K116" s="18">
        <v>120</v>
      </c>
    </row>
  </sheetData>
  <sheetProtection algorithmName="SHA-512" hashValue="PKmfLL+RSbYXWIBox2xX+MqTVFQoaL0Hknb5HuaB5vVl9CCBnzXO7IqISkEnAIVLF3cpTbODYwuP03wAAlg9GA==" saltValue="R2nFvrXIDf6NMowRoqPLuA==" spinCount="100000" sheet="1" objects="1" scenarios="1" selectLockedCells="1"/>
  <mergeCells count="4">
    <mergeCell ref="BI5:BK5"/>
    <mergeCell ref="BI6:BK6"/>
    <mergeCell ref="BI7:BK7"/>
    <mergeCell ref="A52:D55"/>
  </mergeCells>
  <conditionalFormatting sqref="C44">
    <cfRule type="cellIs" dxfId="22" priority="2" operator="greaterThan">
      <formula>$F$44</formula>
    </cfRule>
  </conditionalFormatting>
  <conditionalFormatting sqref="C45">
    <cfRule type="cellIs" dxfId="21" priority="1" operator="greaterThan">
      <formula>$F$45</formula>
    </cfRule>
  </conditionalFormatting>
  <dataValidations count="4">
    <dataValidation type="list" allowBlank="1" showInputMessage="1" showErrorMessage="1" sqref="C21" xr:uid="{5FCD617D-BD1F-4FD1-B157-3D7D3936C680}">
      <formula1>$I$81:$I$116</formula1>
    </dataValidation>
    <dataValidation type="list" allowBlank="1" showInputMessage="1" showErrorMessage="1" sqref="C17" xr:uid="{1FFD4929-54BD-45E7-B1DA-3E74F31DF56D}">
      <formula1>$N$81:$N$85</formula1>
    </dataValidation>
    <dataValidation type="list" allowBlank="1" showInputMessage="1" showErrorMessage="1" sqref="C18" xr:uid="{FAED1C93-D3E8-43FF-A7C4-499E6F2ED03C}">
      <formula1>$O$81:$O$83</formula1>
    </dataValidation>
    <dataValidation type="list" allowBlank="1" showInputMessage="1" showErrorMessage="1" sqref="C43" xr:uid="{74CC83D6-4798-40D0-98DC-BDA876D19990}">
      <formula1>$V$81:$V$82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DC3BC-B872-4CFE-9641-37433062E327}">
  <sheetPr>
    <pageSetUpPr fitToPage="1"/>
  </sheetPr>
  <dimension ref="A5:BK92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" customWidth="1"/>
    <col min="3" max="3" width="25.425781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1339</v>
      </c>
      <c r="BH7" s="5" t="s">
        <v>1345</v>
      </c>
      <c r="BI7" s="37"/>
      <c r="BJ7" s="37"/>
      <c r="BK7" s="37"/>
    </row>
    <row r="9" spans="1:63" x14ac:dyDescent="0.25">
      <c r="I9" s="6">
        <v>4</v>
      </c>
      <c r="Z9" s="2">
        <v>2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117</v>
      </c>
      <c r="K13">
        <v>117</v>
      </c>
      <c r="L13">
        <v>117</v>
      </c>
      <c r="M13">
        <v>114</v>
      </c>
      <c r="N13">
        <v>114</v>
      </c>
      <c r="O13">
        <v>114</v>
      </c>
      <c r="P13">
        <v>107</v>
      </c>
      <c r="Q13">
        <v>107</v>
      </c>
      <c r="R13">
        <v>107</v>
      </c>
      <c r="S13">
        <v>101</v>
      </c>
      <c r="T13">
        <v>101</v>
      </c>
      <c r="U13">
        <v>101</v>
      </c>
      <c r="V13">
        <v>95</v>
      </c>
      <c r="W13">
        <v>95</v>
      </c>
      <c r="X13">
        <v>95</v>
      </c>
      <c r="Z13">
        <v>0</v>
      </c>
      <c r="AA13">
        <v>117</v>
      </c>
      <c r="AB13">
        <v>117</v>
      </c>
      <c r="AC13">
        <v>117</v>
      </c>
      <c r="AD13">
        <v>114</v>
      </c>
      <c r="AE13">
        <v>114</v>
      </c>
      <c r="AF13">
        <v>114</v>
      </c>
      <c r="AG13">
        <v>107</v>
      </c>
      <c r="AH13">
        <v>107</v>
      </c>
      <c r="AI13">
        <v>107</v>
      </c>
      <c r="AJ13">
        <v>101</v>
      </c>
      <c r="AK13">
        <v>101</v>
      </c>
      <c r="AL13">
        <v>101</v>
      </c>
      <c r="AM13">
        <v>96</v>
      </c>
      <c r="AN13">
        <v>96</v>
      </c>
      <c r="AO13">
        <v>96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101</v>
      </c>
      <c r="K14">
        <v>97</v>
      </c>
      <c r="L14">
        <v>92</v>
      </c>
      <c r="M14">
        <v>98</v>
      </c>
      <c r="N14">
        <v>94</v>
      </c>
      <c r="O14">
        <v>90</v>
      </c>
      <c r="P14">
        <v>92</v>
      </c>
      <c r="Q14">
        <v>89</v>
      </c>
      <c r="R14">
        <v>86</v>
      </c>
      <c r="S14">
        <v>87</v>
      </c>
      <c r="T14">
        <v>85</v>
      </c>
      <c r="U14">
        <v>82</v>
      </c>
      <c r="V14">
        <v>83</v>
      </c>
      <c r="W14">
        <v>80</v>
      </c>
      <c r="X14">
        <v>78</v>
      </c>
      <c r="Z14">
        <v>1</v>
      </c>
      <c r="AA14">
        <v>102</v>
      </c>
      <c r="AB14">
        <v>97</v>
      </c>
      <c r="AC14">
        <v>93</v>
      </c>
      <c r="AD14">
        <v>99</v>
      </c>
      <c r="AE14">
        <v>94</v>
      </c>
      <c r="AF14">
        <v>91</v>
      </c>
      <c r="AG14">
        <v>93</v>
      </c>
      <c r="AH14">
        <v>90</v>
      </c>
      <c r="AI14">
        <v>87</v>
      </c>
      <c r="AJ14">
        <v>88</v>
      </c>
      <c r="AK14">
        <v>85</v>
      </c>
      <c r="AL14">
        <v>83</v>
      </c>
      <c r="AM14">
        <v>83</v>
      </c>
      <c r="AN14">
        <v>81</v>
      </c>
      <c r="AO14">
        <v>79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88</v>
      </c>
      <c r="K15">
        <v>80</v>
      </c>
      <c r="L15">
        <v>74</v>
      </c>
      <c r="M15">
        <v>85</v>
      </c>
      <c r="N15">
        <v>78</v>
      </c>
      <c r="O15">
        <v>73</v>
      </c>
      <c r="P15">
        <v>80</v>
      </c>
      <c r="Q15">
        <v>75</v>
      </c>
      <c r="R15">
        <v>70</v>
      </c>
      <c r="S15">
        <v>76</v>
      </c>
      <c r="T15">
        <v>71</v>
      </c>
      <c r="U15">
        <v>67</v>
      </c>
      <c r="V15">
        <v>72</v>
      </c>
      <c r="W15">
        <v>68</v>
      </c>
      <c r="X15">
        <v>65</v>
      </c>
      <c r="Z15">
        <v>2</v>
      </c>
      <c r="AA15">
        <v>88</v>
      </c>
      <c r="AB15">
        <v>81</v>
      </c>
      <c r="AC15">
        <v>75</v>
      </c>
      <c r="AD15">
        <v>86</v>
      </c>
      <c r="AE15">
        <v>79</v>
      </c>
      <c r="AF15">
        <v>74</v>
      </c>
      <c r="AG15">
        <v>81</v>
      </c>
      <c r="AH15">
        <v>75</v>
      </c>
      <c r="AI15">
        <v>71</v>
      </c>
      <c r="AJ15">
        <v>76</v>
      </c>
      <c r="AK15">
        <v>72</v>
      </c>
      <c r="AL15">
        <v>68</v>
      </c>
      <c r="AM15">
        <v>72</v>
      </c>
      <c r="AN15">
        <v>69</v>
      </c>
      <c r="AO15">
        <v>66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76</v>
      </c>
      <c r="K16">
        <v>68</v>
      </c>
      <c r="L16">
        <v>61</v>
      </c>
      <c r="M16">
        <v>74</v>
      </c>
      <c r="N16">
        <v>67</v>
      </c>
      <c r="O16">
        <v>60</v>
      </c>
      <c r="P16">
        <v>70</v>
      </c>
      <c r="Q16">
        <v>64</v>
      </c>
      <c r="R16">
        <v>58</v>
      </c>
      <c r="S16">
        <v>66</v>
      </c>
      <c r="T16">
        <v>61</v>
      </c>
      <c r="U16">
        <v>56</v>
      </c>
      <c r="V16">
        <v>63</v>
      </c>
      <c r="W16">
        <v>58</v>
      </c>
      <c r="X16">
        <v>54</v>
      </c>
      <c r="Z16">
        <v>3</v>
      </c>
      <c r="AA16">
        <v>77</v>
      </c>
      <c r="AB16">
        <v>69</v>
      </c>
      <c r="AC16">
        <v>62</v>
      </c>
      <c r="AD16">
        <v>75</v>
      </c>
      <c r="AE16">
        <v>67</v>
      </c>
      <c r="AF16">
        <v>61</v>
      </c>
      <c r="AG16">
        <v>71</v>
      </c>
      <c r="AH16">
        <v>64</v>
      </c>
      <c r="AI16">
        <v>59</v>
      </c>
      <c r="AJ16">
        <v>67</v>
      </c>
      <c r="AK16">
        <v>62</v>
      </c>
      <c r="AL16">
        <v>57</v>
      </c>
      <c r="AM16">
        <v>64</v>
      </c>
      <c r="AN16">
        <v>59</v>
      </c>
      <c r="AO16">
        <v>55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67</v>
      </c>
      <c r="K17">
        <v>58</v>
      </c>
      <c r="L17">
        <v>52</v>
      </c>
      <c r="M17">
        <v>66</v>
      </c>
      <c r="N17">
        <v>57</v>
      </c>
      <c r="O17">
        <v>51</v>
      </c>
      <c r="P17">
        <v>62</v>
      </c>
      <c r="Q17">
        <v>55</v>
      </c>
      <c r="R17">
        <v>49</v>
      </c>
      <c r="S17">
        <v>59</v>
      </c>
      <c r="T17">
        <v>53</v>
      </c>
      <c r="U17">
        <v>48</v>
      </c>
      <c r="V17">
        <v>56</v>
      </c>
      <c r="W17">
        <v>51</v>
      </c>
      <c r="X17">
        <v>46</v>
      </c>
      <c r="Z17">
        <v>4</v>
      </c>
      <c r="AA17">
        <v>68</v>
      </c>
      <c r="AB17">
        <v>59</v>
      </c>
      <c r="AC17">
        <v>52</v>
      </c>
      <c r="AD17">
        <v>66</v>
      </c>
      <c r="AE17">
        <v>58</v>
      </c>
      <c r="AF17">
        <v>52</v>
      </c>
      <c r="AG17">
        <v>63</v>
      </c>
      <c r="AH17">
        <v>56</v>
      </c>
      <c r="AI17">
        <v>50</v>
      </c>
      <c r="AJ17">
        <v>60</v>
      </c>
      <c r="AK17">
        <v>54</v>
      </c>
      <c r="AL17">
        <v>49</v>
      </c>
      <c r="AM17">
        <v>57</v>
      </c>
      <c r="AN17">
        <v>52</v>
      </c>
      <c r="AO17">
        <v>47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60</v>
      </c>
      <c r="K18">
        <v>51</v>
      </c>
      <c r="L18">
        <v>44</v>
      </c>
      <c r="M18">
        <v>59</v>
      </c>
      <c r="N18">
        <v>50</v>
      </c>
      <c r="O18">
        <v>44</v>
      </c>
      <c r="P18">
        <v>56</v>
      </c>
      <c r="Q18">
        <v>48</v>
      </c>
      <c r="R18">
        <v>42</v>
      </c>
      <c r="S18">
        <v>53</v>
      </c>
      <c r="T18">
        <v>46</v>
      </c>
      <c r="U18">
        <v>41</v>
      </c>
      <c r="V18">
        <v>50</v>
      </c>
      <c r="W18">
        <v>45</v>
      </c>
      <c r="X18">
        <v>40</v>
      </c>
      <c r="Z18">
        <v>5</v>
      </c>
      <c r="AA18">
        <v>61</v>
      </c>
      <c r="AB18">
        <v>52</v>
      </c>
      <c r="AC18">
        <v>45</v>
      </c>
      <c r="AD18">
        <v>59</v>
      </c>
      <c r="AE18">
        <v>51</v>
      </c>
      <c r="AF18">
        <v>44</v>
      </c>
      <c r="AG18">
        <v>56</v>
      </c>
      <c r="AH18">
        <v>49</v>
      </c>
      <c r="AI18">
        <v>43</v>
      </c>
      <c r="AJ18">
        <v>54</v>
      </c>
      <c r="AK18">
        <v>47</v>
      </c>
      <c r="AL18">
        <v>42</v>
      </c>
      <c r="AM18">
        <v>51</v>
      </c>
      <c r="AN18">
        <v>45</v>
      </c>
      <c r="AO18">
        <v>41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54</v>
      </c>
      <c r="K19">
        <v>45</v>
      </c>
      <c r="L19">
        <v>38</v>
      </c>
      <c r="M19">
        <v>53</v>
      </c>
      <c r="N19">
        <v>44</v>
      </c>
      <c r="O19">
        <v>38</v>
      </c>
      <c r="P19">
        <v>50</v>
      </c>
      <c r="Q19">
        <v>43</v>
      </c>
      <c r="R19">
        <v>37</v>
      </c>
      <c r="S19">
        <v>48</v>
      </c>
      <c r="T19">
        <v>41</v>
      </c>
      <c r="U19">
        <v>36</v>
      </c>
      <c r="V19">
        <v>45</v>
      </c>
      <c r="W19">
        <v>40</v>
      </c>
      <c r="X19">
        <v>35</v>
      </c>
      <c r="Z19">
        <v>6</v>
      </c>
      <c r="AA19">
        <v>55</v>
      </c>
      <c r="AB19">
        <v>46</v>
      </c>
      <c r="AC19">
        <v>39</v>
      </c>
      <c r="AD19">
        <v>53</v>
      </c>
      <c r="AE19">
        <v>45</v>
      </c>
      <c r="AF19">
        <v>39</v>
      </c>
      <c r="AG19">
        <v>51</v>
      </c>
      <c r="AH19">
        <v>43</v>
      </c>
      <c r="AI19">
        <v>38</v>
      </c>
      <c r="AJ19">
        <v>48</v>
      </c>
      <c r="AK19">
        <v>42</v>
      </c>
      <c r="AL19">
        <v>37</v>
      </c>
      <c r="AM19">
        <v>46</v>
      </c>
      <c r="AN19">
        <v>41</v>
      </c>
      <c r="AO19">
        <v>36</v>
      </c>
      <c r="AQ19">
        <v>6</v>
      </c>
    </row>
    <row r="20" spans="1:63" x14ac:dyDescent="0.25">
      <c r="I20">
        <v>7</v>
      </c>
      <c r="J20">
        <v>49</v>
      </c>
      <c r="K20">
        <v>40</v>
      </c>
      <c r="L20">
        <v>34</v>
      </c>
      <c r="M20">
        <v>48</v>
      </c>
      <c r="N20">
        <v>39</v>
      </c>
      <c r="O20">
        <v>33</v>
      </c>
      <c r="P20">
        <v>45</v>
      </c>
      <c r="Q20">
        <v>38</v>
      </c>
      <c r="R20">
        <v>33</v>
      </c>
      <c r="S20">
        <v>43</v>
      </c>
      <c r="T20">
        <v>37</v>
      </c>
      <c r="U20">
        <v>32</v>
      </c>
      <c r="V20">
        <v>41</v>
      </c>
      <c r="W20">
        <v>36</v>
      </c>
      <c r="X20">
        <v>31</v>
      </c>
      <c r="Z20">
        <v>7</v>
      </c>
      <c r="AA20">
        <v>49</v>
      </c>
      <c r="AB20">
        <v>41</v>
      </c>
      <c r="AC20">
        <v>34</v>
      </c>
      <c r="AD20">
        <v>48</v>
      </c>
      <c r="AE20">
        <v>40</v>
      </c>
      <c r="AF20">
        <v>34</v>
      </c>
      <c r="AG20">
        <v>46</v>
      </c>
      <c r="AH20">
        <v>39</v>
      </c>
      <c r="AI20">
        <v>33</v>
      </c>
      <c r="AJ20">
        <v>44</v>
      </c>
      <c r="AK20">
        <v>38</v>
      </c>
      <c r="AL20">
        <v>33</v>
      </c>
      <c r="AM20">
        <v>42</v>
      </c>
      <c r="AN20">
        <v>36</v>
      </c>
      <c r="AO20">
        <v>32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>
        <f>IF(ISNUMBER(SEARCH("2",C21)),2,4)</f>
        <v>4</v>
      </c>
      <c r="I21">
        <v>8</v>
      </c>
      <c r="J21">
        <v>45</v>
      </c>
      <c r="K21">
        <v>36</v>
      </c>
      <c r="L21">
        <v>30</v>
      </c>
      <c r="M21">
        <v>44</v>
      </c>
      <c r="N21">
        <v>35</v>
      </c>
      <c r="O21">
        <v>30</v>
      </c>
      <c r="P21">
        <v>42</v>
      </c>
      <c r="Q21">
        <v>34</v>
      </c>
      <c r="R21">
        <v>29</v>
      </c>
      <c r="S21">
        <v>40</v>
      </c>
      <c r="T21">
        <v>33</v>
      </c>
      <c r="U21">
        <v>28</v>
      </c>
      <c r="V21">
        <v>38</v>
      </c>
      <c r="W21">
        <v>32</v>
      </c>
      <c r="X21">
        <v>28</v>
      </c>
      <c r="Z21">
        <v>8</v>
      </c>
      <c r="AA21">
        <v>45</v>
      </c>
      <c r="AB21">
        <v>37</v>
      </c>
      <c r="AC21">
        <v>31</v>
      </c>
      <c r="AD21">
        <v>44</v>
      </c>
      <c r="AE21">
        <v>36</v>
      </c>
      <c r="AF21">
        <v>30</v>
      </c>
      <c r="AG21">
        <v>42</v>
      </c>
      <c r="AH21">
        <v>35</v>
      </c>
      <c r="AI21">
        <v>30</v>
      </c>
      <c r="AJ21">
        <v>40</v>
      </c>
      <c r="AK21">
        <v>34</v>
      </c>
      <c r="AL21">
        <v>29</v>
      </c>
      <c r="AM21">
        <v>39</v>
      </c>
      <c r="AN21">
        <v>33</v>
      </c>
      <c r="AO21">
        <v>29</v>
      </c>
      <c r="AQ21">
        <v>8</v>
      </c>
    </row>
    <row r="22" spans="1:63" x14ac:dyDescent="0.25">
      <c r="B22" t="s">
        <v>30</v>
      </c>
      <c r="C22" s="4" t="e">
        <f>VLOOKUP(C21,Model5169219[],2,0)</f>
        <v>#N/A</v>
      </c>
      <c r="D22" t="s">
        <v>131</v>
      </c>
      <c r="I22">
        <v>9</v>
      </c>
      <c r="J22">
        <v>41</v>
      </c>
      <c r="K22">
        <v>33</v>
      </c>
      <c r="L22">
        <v>27</v>
      </c>
      <c r="M22">
        <v>40</v>
      </c>
      <c r="N22">
        <v>32</v>
      </c>
      <c r="O22">
        <v>27</v>
      </c>
      <c r="P22">
        <v>38</v>
      </c>
      <c r="Q22">
        <v>31</v>
      </c>
      <c r="R22">
        <v>26</v>
      </c>
      <c r="S22">
        <v>37</v>
      </c>
      <c r="T22">
        <v>30</v>
      </c>
      <c r="U22">
        <v>26</v>
      </c>
      <c r="V22">
        <v>35</v>
      </c>
      <c r="W22">
        <v>29</v>
      </c>
      <c r="X22">
        <v>25</v>
      </c>
      <c r="Z22">
        <v>9</v>
      </c>
      <c r="AA22">
        <v>41</v>
      </c>
      <c r="AB22">
        <v>33</v>
      </c>
      <c r="AC22">
        <v>28</v>
      </c>
      <c r="AD22">
        <v>40</v>
      </c>
      <c r="AE22">
        <v>33</v>
      </c>
      <c r="AF22">
        <v>27</v>
      </c>
      <c r="AG22">
        <v>39</v>
      </c>
      <c r="AH22">
        <v>32</v>
      </c>
      <c r="AI22">
        <v>27</v>
      </c>
      <c r="AJ22">
        <v>37</v>
      </c>
      <c r="AK22">
        <v>31</v>
      </c>
      <c r="AL22">
        <v>26</v>
      </c>
      <c r="AM22">
        <v>36</v>
      </c>
      <c r="AN22">
        <v>30</v>
      </c>
      <c r="AO22">
        <v>26</v>
      </c>
      <c r="AQ22">
        <v>9</v>
      </c>
    </row>
    <row r="23" spans="1:63" x14ac:dyDescent="0.25">
      <c r="B23" t="s">
        <v>31</v>
      </c>
      <c r="C23" t="e">
        <f>VLOOKUP(C21,Model5169219[],3,FALSE)</f>
        <v>#N/A</v>
      </c>
      <c r="D23" t="s">
        <v>132</v>
      </c>
      <c r="I23">
        <v>10</v>
      </c>
      <c r="J23">
        <v>38</v>
      </c>
      <c r="K23">
        <v>30</v>
      </c>
      <c r="L23">
        <v>24</v>
      </c>
      <c r="M23">
        <v>37</v>
      </c>
      <c r="N23">
        <v>29</v>
      </c>
      <c r="O23">
        <v>24</v>
      </c>
      <c r="P23">
        <v>35</v>
      </c>
      <c r="Q23">
        <v>28</v>
      </c>
      <c r="R23">
        <v>24</v>
      </c>
      <c r="S23">
        <v>34</v>
      </c>
      <c r="T23">
        <v>28</v>
      </c>
      <c r="U23">
        <v>23</v>
      </c>
      <c r="V23">
        <v>33</v>
      </c>
      <c r="W23">
        <v>27</v>
      </c>
      <c r="X23">
        <v>23</v>
      </c>
      <c r="Z23">
        <v>10</v>
      </c>
      <c r="AA23">
        <v>38</v>
      </c>
      <c r="AB23">
        <v>30</v>
      </c>
      <c r="AC23">
        <v>25</v>
      </c>
      <c r="AD23">
        <v>37</v>
      </c>
      <c r="AE23">
        <v>30</v>
      </c>
      <c r="AF23">
        <v>25</v>
      </c>
      <c r="AG23">
        <v>36</v>
      </c>
      <c r="AH23">
        <v>29</v>
      </c>
      <c r="AI23">
        <v>24</v>
      </c>
      <c r="AJ23">
        <v>35</v>
      </c>
      <c r="AK23">
        <v>28</v>
      </c>
      <c r="AL23">
        <v>24</v>
      </c>
      <c r="AM23">
        <v>33</v>
      </c>
      <c r="AN23">
        <v>28</v>
      </c>
      <c r="AO23">
        <v>23</v>
      </c>
      <c r="AQ23">
        <v>10</v>
      </c>
    </row>
    <row r="24" spans="1:63" x14ac:dyDescent="0.25">
      <c r="B24" t="s">
        <v>3</v>
      </c>
      <c r="C24" s="11" t="e">
        <f t="array" ref="C24">INDEX(CUtable4168218[],MATCH(1,(CUtable4168218[RC]=C17)*(CUtable4168218[RW]=C18)*(CUtable4168218[Size]=E21),0),4)</f>
        <v>#DIV/0!</v>
      </c>
      <c r="H24" s="5"/>
    </row>
    <row r="25" spans="1:63" x14ac:dyDescent="0.25">
      <c r="B25" t="s">
        <v>133</v>
      </c>
      <c r="C25" s="11">
        <f>VLOOKUP(E21,Table81217173223[],2,FALSE)</f>
        <v>1.26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VLOOKUP(E21,Table81217173223[],3,FALSE)</f>
        <v>1.28</v>
      </c>
      <c r="H26" s="5"/>
      <c r="I26" t="s">
        <v>218</v>
      </c>
      <c r="J26">
        <f>INDEX(LINEST(Table2x4167217[CU],Table2x4167217[RCR]^{1,2,3}),1)</f>
        <v>-5.069930069930105E-2</v>
      </c>
      <c r="K26">
        <f>INDEX(LINEST(Table2x4167217[CU1],Table2x4167217[RCR]^{1,2,3}),1)</f>
        <v>-8.3916083916084169E-2</v>
      </c>
      <c r="L26">
        <f>INDEX(LINEST(Table2x4167217[CU2],Table2x4167217[RCR]^{1,2,3}),1)</f>
        <v>-0.11946386946387</v>
      </c>
      <c r="M26">
        <f>INDEX(LINEST(Table2x4167217[CU3],Table2x4167217[RCR]^{1,2,3}),1)</f>
        <v>-5.4390054390054864E-2</v>
      </c>
      <c r="N26">
        <f>INDEX(LINEST(Table2x4167217[CU4],Table2x4167217[RCR]^{1,2,3}),1)</f>
        <v>-7.8865578865578934E-2</v>
      </c>
      <c r="O26">
        <f>INDEX(LINEST(Table2x4167217[CU5],Table2x4167217[RCR]^{1,2,3}),1)</f>
        <v>-0.11130536130536164</v>
      </c>
      <c r="P26">
        <f>INDEX(LINEST(Table2x4167217[CU6],Table2x4167217[RCR]^{1,2,3}),1)</f>
        <v>-4.9922299922299976E-2</v>
      </c>
      <c r="Q26">
        <f>INDEX(LINEST(Table2x4167217[CU7],Table2x4167217[RCR]^{1,2,3}),1)</f>
        <v>-6.8764568764569267E-2</v>
      </c>
      <c r="R26">
        <f>INDEX(LINEST(Table2x4167217[CU8],Table2x4167217[RCR]^{1,2,3}),1)</f>
        <v>-9.4211344211344472E-2</v>
      </c>
      <c r="S26">
        <f>INDEX(LINEST(Table2x4167217[CU9],Table2x4167217[RCR]^{1,2,3}),1)</f>
        <v>-4.5648795648795808E-2</v>
      </c>
      <c r="T26">
        <f>INDEX(LINEST(Table2x4167217[CU10],Table2x4167217[RCR]^{1,2,3}),1)</f>
        <v>-5.9052059052059326E-2</v>
      </c>
      <c r="U26">
        <f>INDEX(LINEST(Table2x4167217[CU11],Table2x4167217[RCR]^{1,2,3}),1)</f>
        <v>-8.2750582750582974E-2</v>
      </c>
      <c r="V26">
        <f>INDEX(LINEST(Table2x4167217[CU12],Table2x4167217[RCR]^{1,2,3}),1)</f>
        <v>-3.1857031857031821E-2</v>
      </c>
      <c r="W26">
        <f>INDEX(LINEST(Table2x4167217[CU13],Table2x4167217[RCR]^{1,2,3}),1)</f>
        <v>-5.4778554778555123E-2</v>
      </c>
      <c r="X26">
        <f>INDEX(LINEST(Table2x4167217[CU14],Table2x4167217[RCR]^{1,2,3}),1)</f>
        <v>-6.7016317016317398E-2</v>
      </c>
      <c r="Z26" t="s">
        <v>218</v>
      </c>
      <c r="AA26">
        <f>INDEX(LINEST(Table2x2174224[CU],Table2x2174224[RCR]^{1,2,3}),1)</f>
        <v>-4.5066045066045196E-2</v>
      </c>
      <c r="AB26">
        <f>INDEX(LINEST(Table2x2174224[CU1],Table2x2174224[RCR]^{1,2,3}),1)</f>
        <v>-8.391608391608428E-2</v>
      </c>
      <c r="AC26">
        <f>INDEX(LINEST(Table2x2174224[CU2],Table2x2174224[RCR]^{1,2,3}),1)</f>
        <v>-0.11188811188811239</v>
      </c>
      <c r="AD26">
        <f>INDEX(LINEST(Table2x2174224[CU3],Table2x2174224[RCR]^{1,2,3}),1)</f>
        <v>-4.4483294483294571E-2</v>
      </c>
      <c r="AE26">
        <f>INDEX(LINEST(Table2x2174224[CU4],Table2x2174224[RCR]^{1,2,3}),1)</f>
        <v>-7.8671328671329019E-2</v>
      </c>
      <c r="AF26">
        <f>INDEX(LINEST(Table2x2174224[CU5],Table2x2174224[RCR]^{1,2,3}),1)</f>
        <v>-0.10003885003885024</v>
      </c>
      <c r="AG26">
        <f>INDEX(LINEST(Table2x2174224[CU6],Table2x2174224[RCR]^{1,2,3}),1)</f>
        <v>-3.9821289821289962E-2</v>
      </c>
      <c r="AH26">
        <f>INDEX(LINEST(Table2x2174224[CU7],Table2x2174224[RCR]^{1,2,3}),1)</f>
        <v>-6.8958818958819335E-2</v>
      </c>
      <c r="AI26">
        <f>INDEX(LINEST(Table2x2174224[CU8],Table2x2174224[RCR]^{1,2,3}),1)</f>
        <v>-8.9743589743590063E-2</v>
      </c>
      <c r="AJ26">
        <f>INDEX(LINEST(Table2x2174224[CU9],Table2x2174224[RCR]^{1,2,3}),1)</f>
        <v>-3.5936285936286248E-2</v>
      </c>
      <c r="AK26">
        <f>INDEX(LINEST(Table2x2174224[CU10],Table2x2174224[RCR]^{1,2,3}),1)</f>
        <v>-6.0217560217560452E-2</v>
      </c>
      <c r="AL26">
        <f>INDEX(LINEST(Table2x2174224[CU11],Table2x2174224[RCR]^{1,2,3}),1)</f>
        <v>-7.575757575757619E-2</v>
      </c>
      <c r="AM26">
        <f>INDEX(LINEST(Table2x2174224[CU12],Table2x2174224[RCR]^{1,2,3}),1)</f>
        <v>-4.3123543123543294E-2</v>
      </c>
      <c r="AN26">
        <f>INDEX(LINEST(Table2x2174224[CU13],Table2x2174224[RCR]^{1,2,3}),1)</f>
        <v>-5.0310800310800839E-2</v>
      </c>
      <c r="AO26">
        <f>INDEX(LINEST(Table2x2174224[CU14],Table2x2174224[RCR]^{1,2,3}),1)</f>
        <v>-7.2843822843823181E-2</v>
      </c>
      <c r="AQ26" t="s">
        <v>218</v>
      </c>
      <c r="AR26" t="e">
        <f>INDEX(LINEST(Table1x4176226[CU],Table1x4176226[RCR]^{1,2,3}),1)</f>
        <v>#VALUE!</v>
      </c>
      <c r="AS26" t="e">
        <f>INDEX(LINEST(Table1x4176226[CU1],Table1x4176226[RCR]^{1,2,3}),1)</f>
        <v>#VALUE!</v>
      </c>
      <c r="AT26" t="e">
        <f>INDEX(LINEST(Table1x4176226[CU2],Table1x4176226[RCR]^{1,2,3}),1)</f>
        <v>#VALUE!</v>
      </c>
      <c r="AU26" t="e">
        <f>INDEX(LINEST(Table1x4176226[CU3],Table1x4176226[RCR]^{1,2,3}),1)</f>
        <v>#VALUE!</v>
      </c>
      <c r="AV26" t="e">
        <f>INDEX(LINEST(Table1x4176226[CU4],Table1x4176226[RCR]^{1,2,3}),1)</f>
        <v>#VALUE!</v>
      </c>
      <c r="AW26" t="e">
        <f>INDEX(LINEST(Table1x4176226[CU5],Table1x4176226[RCR]^{1,2,3}),1)</f>
        <v>#VALUE!</v>
      </c>
      <c r="AX26" t="e">
        <f>INDEX(LINEST(Table1x4176226[CU6],Table1x4176226[RCR]^{1,2,3}),1)</f>
        <v>#VALUE!</v>
      </c>
      <c r="AY26" t="e">
        <f>INDEX(LINEST(Table1x4176226[CU7],Table1x4176226[RCR]^{1,2,3}),1)</f>
        <v>#VALUE!</v>
      </c>
      <c r="AZ26" t="e">
        <f>INDEX(LINEST(Table1x4176226[CU8],Table1x4176226[RCR]^{1,2,3}),1)</f>
        <v>#VALUE!</v>
      </c>
      <c r="BA26" t="e">
        <f>INDEX(LINEST(Table1x4176226[CU9],Table1x4176226[RCR]^{1,2,3}),1)</f>
        <v>#VALUE!</v>
      </c>
      <c r="BB26" t="e">
        <f>INDEX(LINEST(Table1x4176226[CU10],Table1x4176226[RCR]^{1,2,3}),1)</f>
        <v>#VALUE!</v>
      </c>
      <c r="BC26" t="e">
        <f>INDEX(LINEST(Table1x4176226[CU11],Table1x4176226[RCR]^{1,2,3}),1)</f>
        <v>#VALUE!</v>
      </c>
      <c r="BD26" t="e">
        <f>INDEX(LINEST(Table1x4176226[CU12],Table1x4176226[RCR]^{1,2,3}),1)</f>
        <v>#VALUE!</v>
      </c>
      <c r="BE26" t="e">
        <f>INDEX(LINEST(Table1x4176226[CU13],Table1x4176226[RCR]^{1,2,3}),1)</f>
        <v>#VALUE!</v>
      </c>
      <c r="BF26" t="e">
        <f>INDEX(LINEST(Table1x4176226[CU14],Table1x4176226[RCR]^{1,2,3}),1)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INDEX(LINEST(Table2x4167217[CU],Table2x4167217[RCR]^{1,2,3}),1,2)</f>
        <v>1.4656177156177199</v>
      </c>
      <c r="K27">
        <f>INDEX(LINEST(Table2x4167217[CU1],Table2x4167217[RCR]^{1,2,3}),1,2)</f>
        <v>2.1724941724941753</v>
      </c>
      <c r="L27">
        <f>INDEX(LINEST(Table2x4167217[CU2],Table2x4167217[RCR]^{1,2,3}),1,2)</f>
        <v>2.8467365967366045</v>
      </c>
      <c r="M27">
        <f>INDEX(LINEST(Table2x4167217[CU3],Table2x4167217[RCR]^{1,2,3}),1,2)</f>
        <v>1.4813519813519884</v>
      </c>
      <c r="N27">
        <f>INDEX(LINEST(Table2x4167217[CU4],Table2x4167217[RCR]^{1,2,3}),1,2)</f>
        <v>2.0489510489510487</v>
      </c>
      <c r="O27">
        <f>INDEX(LINEST(Table2x4167217[CU5],Table2x4167217[RCR]^{1,2,3}),1,2)</f>
        <v>2.6835664335664369</v>
      </c>
      <c r="P27">
        <f>INDEX(LINEST(Table2x4167217[CU6],Table2x4167217[RCR]^{1,2,3}),1,2)</f>
        <v>1.3665501165501162</v>
      </c>
      <c r="Q27">
        <f>INDEX(LINEST(Table2x4167217[CU7],Table2x4167217[RCR]^{1,2,3}),1,2)</f>
        <v>1.8030303030303101</v>
      </c>
      <c r="R27">
        <f>INDEX(LINEST(Table2x4167217[CU8],Table2x4167217[RCR]^{1,2,3}),1,2)</f>
        <v>2.3432400932400963</v>
      </c>
      <c r="S27">
        <f>INDEX(LINEST(Table2x4167217[CU9],Table2x4167217[RCR]^{1,2,3}),1,2)</f>
        <v>1.2744755244755259</v>
      </c>
      <c r="T27">
        <f>INDEX(LINEST(Table2x4167217[CU10],Table2x4167217[RCR]^{1,2,3}),1,2)</f>
        <v>1.6165501165501202</v>
      </c>
      <c r="U27">
        <f>INDEX(LINEST(Table2x4167217[CU11],Table2x4167217[RCR]^{1,2,3}),1,2)</f>
        <v>2.0792540792540812</v>
      </c>
      <c r="V27">
        <f>INDEX(LINEST(Table2x4167217[CU12],Table2x4167217[RCR]^{1,2,3}),1,2)</f>
        <v>1.0431235431235415</v>
      </c>
      <c r="W27">
        <f>INDEX(LINEST(Table2x4167217[CU13],Table2x4167217[RCR]^{1,2,3}),1,2)</f>
        <v>1.4638694638694685</v>
      </c>
      <c r="X27">
        <f>INDEX(LINEST(Table2x4167217[CU14],Table2x4167217[RCR]^{1,2,3}),1,2)</f>
        <v>1.769813519813525</v>
      </c>
      <c r="Z27" t="s">
        <v>219</v>
      </c>
      <c r="AA27">
        <f>INDEX(LINEST(Table2x2174224[CU],Table2x2174224[RCR]^{1,2,3}),1,2)</f>
        <v>1.3484848484848493</v>
      </c>
      <c r="AB27">
        <f>INDEX(LINEST(Table2x2174224[CU1],Table2x2174224[RCR]^{1,2,3}),1,2)</f>
        <v>2.1235431235431275</v>
      </c>
      <c r="AC27">
        <f>INDEX(LINEST(Table2x2174224[CU2],Table2x2174224[RCR]^{1,2,3}),1,2)</f>
        <v>2.7331002331002394</v>
      </c>
      <c r="AD27">
        <f>INDEX(LINEST(Table2x2174224[CU3],Table2x2174224[RCR]^{1,2,3}),1,2)</f>
        <v>1.3315850815850818</v>
      </c>
      <c r="AE27">
        <f>INDEX(LINEST(Table2x2174224[CU4],Table2x2174224[RCR]^{1,2,3}),1,2)</f>
        <v>2.0285547785547831</v>
      </c>
      <c r="AF27">
        <f>INDEX(LINEST(Table2x2174224[CU5],Table2x2174224[RCR]^{1,2,3}),1,2)</f>
        <v>2.5029137529137544</v>
      </c>
      <c r="AG27">
        <f>INDEX(LINEST(Table2x2174224[CU6],Table2x2174224[RCR]^{1,2,3}),1,2)</f>
        <v>1.210372960372962</v>
      </c>
      <c r="AH27">
        <f>INDEX(LINEST(Table2x2174224[CU7],Table2x2174224[RCR]^{1,2,3}),1,2)</f>
        <v>1.8071095571095621</v>
      </c>
      <c r="AI27">
        <f>INDEX(LINEST(Table2x2174224[CU8],Table2x2174224[RCR]^{1,2,3}),1,2)</f>
        <v>2.2482517482517519</v>
      </c>
      <c r="AJ27">
        <f>INDEX(LINEST(Table2x2174224[CU9],Table2x2174224[RCR]^{1,2,3}),1,2)</f>
        <v>1.1171328671328713</v>
      </c>
      <c r="AK27">
        <f>INDEX(LINEST(Table2x2174224[CU10],Table2x2174224[RCR]^{1,2,3}),1,2)</f>
        <v>1.5920745920745951</v>
      </c>
      <c r="AL27">
        <f>INDEX(LINEST(Table2x2174224[CU11],Table2x2174224[RCR]^{1,2,3}),1,2)</f>
        <v>1.9498834498834565</v>
      </c>
      <c r="AM27">
        <f>INDEX(LINEST(Table2x2174224[CU12],Table2x2174224[RCR]^{1,2,3}),1,2)</f>
        <v>1.1888111888111903</v>
      </c>
      <c r="AN27">
        <f>INDEX(LINEST(Table2x2174224[CU13],Table2x2174224[RCR]^{1,2,3}),1,2)</f>
        <v>1.4155011655011727</v>
      </c>
      <c r="AO27">
        <f>INDEX(LINEST(Table2x2174224[CU14],Table2x2174224[RCR]^{1,2,3}),1,2)</f>
        <v>1.8397435897435936</v>
      </c>
      <c r="AQ27" t="s">
        <v>219</v>
      </c>
      <c r="AR27" t="e">
        <f>INDEX(LINEST(Table1x4176226[CU],Table1x4176226[RCR]^{1,2,3}),1,2)</f>
        <v>#VALUE!</v>
      </c>
      <c r="AS27" t="e">
        <f>INDEX(LINEST(Table1x4176226[CU1],Table1x4176226[RCR]^{1,2,3}),1,2)</f>
        <v>#VALUE!</v>
      </c>
      <c r="AT27" t="e">
        <f>INDEX(LINEST(Table1x4176226[CU2],Table1x4176226[RCR]^{1,2,3}),1,2)</f>
        <v>#VALUE!</v>
      </c>
      <c r="AU27" t="e">
        <f>INDEX(LINEST(Table1x4176226[CU3],Table1x4176226[RCR]^{1,2,3}),1,2)</f>
        <v>#VALUE!</v>
      </c>
      <c r="AV27" t="e">
        <f>INDEX(LINEST(Table1x4176226[CU4],Table1x4176226[RCR]^{1,2,3}),1,2)</f>
        <v>#VALUE!</v>
      </c>
      <c r="AW27" t="e">
        <f>INDEX(LINEST(Table1x4176226[CU5],Table1x4176226[RCR]^{1,2,3}),1,2)</f>
        <v>#VALUE!</v>
      </c>
      <c r="AX27" t="e">
        <f>INDEX(LINEST(Table1x4176226[CU6],Table1x4176226[RCR]^{1,2,3}),1,2)</f>
        <v>#VALUE!</v>
      </c>
      <c r="AY27" t="e">
        <f>INDEX(LINEST(Table1x4176226[CU7],Table1x4176226[RCR]^{1,2,3}),1,2)</f>
        <v>#VALUE!</v>
      </c>
      <c r="AZ27" t="e">
        <f>INDEX(LINEST(Table1x4176226[CU8],Table1x4176226[RCR]^{1,2,3}),1,2)</f>
        <v>#VALUE!</v>
      </c>
      <c r="BA27" t="e">
        <f>INDEX(LINEST(Table1x4176226[CU9],Table1x4176226[RCR]^{1,2,3}),1,2)</f>
        <v>#VALUE!</v>
      </c>
      <c r="BB27" t="e">
        <f>INDEX(LINEST(Table1x4176226[CU10],Table1x4176226[RCR]^{1,2,3}),1,2)</f>
        <v>#VALUE!</v>
      </c>
      <c r="BC27" t="e">
        <f>INDEX(LINEST(Table1x4176226[CU11],Table1x4176226[RCR]^{1,2,3}),1,2)</f>
        <v>#VALUE!</v>
      </c>
      <c r="BD27" t="e">
        <f>INDEX(LINEST(Table1x4176226[CU12],Table1x4176226[RCR]^{1,2,3}),1,2)</f>
        <v>#VALUE!</v>
      </c>
      <c r="BE27" t="e">
        <f>INDEX(LINEST(Table1x4176226[CU13],Table1x4176226[RCR]^{1,2,3}),1,2)</f>
        <v>#VALUE!</v>
      </c>
      <c r="BF27" t="e">
        <f>INDEX(LINEST(Table1x4176226[CU14],Table1x4176226[RCR]^{1,2,3}),1,2)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INDEX(LINEST(Table2x4167217[CU],Table2x4167217[RCR]^{1,2,3}),1,3)</f>
        <v>-17.505827505827515</v>
      </c>
      <c r="K28">
        <f>INDEX(LINEST(Table2x4167217[CU1],Table2x4167217[RCR]^{1,2,3}),1,3)</f>
        <v>-22.046620046620045</v>
      </c>
      <c r="L28">
        <f>INDEX(LINEST(Table2x4167217[CU2],Table2x4167217[RCR]^{1,2,3}),1,3)</f>
        <v>-25.790209790209818</v>
      </c>
      <c r="M28">
        <f>INDEX(LINEST(Table2x4167217[CU3],Table2x4167217[RCR]^{1,2,3}),1,3)</f>
        <v>-17.084304584304611</v>
      </c>
      <c r="N28">
        <f>INDEX(LINEST(Table2x4167217[CU4],Table2x4167217[RCR]^{1,2,3}),1,3)</f>
        <v>-21.088966588966578</v>
      </c>
      <c r="O28">
        <f>INDEX(LINEST(Table2x4167217[CU5],Table2x4167217[RCR]^{1,2,3}),1,3)</f>
        <v>-24.670163170163168</v>
      </c>
      <c r="P28">
        <f>INDEX(LINEST(Table2x4167217[CU6],Table2x4167217[RCR]^{1,2,3}),1,3)</f>
        <v>-15.869075369075357</v>
      </c>
      <c r="Q28">
        <f>INDEX(LINEST(Table2x4167217[CU7],Table2x4167217[RCR]^{1,2,3}),1,3)</f>
        <v>-19.048951048951071</v>
      </c>
      <c r="R28">
        <f>INDEX(LINEST(Table2x4167217[CU8],Table2x4167217[RCR]^{1,2,3}),1,3)</f>
        <v>-22.325951825951829</v>
      </c>
      <c r="S28">
        <f>INDEX(LINEST(Table2x4167217[CU9],Table2x4167217[RCR]^{1,2,3}),1,3)</f>
        <v>-14.872183372183368</v>
      </c>
      <c r="T28">
        <f>INDEX(LINEST(Table2x4167217[CU10],Table2x4167217[RCR]^{1,2,3}),1,3)</f>
        <v>-17.585470085470092</v>
      </c>
      <c r="U28">
        <f>INDEX(LINEST(Table2x4167217[CU11],Table2x4167217[RCR]^{1,2,3}),1,3)</f>
        <v>-20.3041958041958</v>
      </c>
      <c r="V28">
        <f>INDEX(LINEST(Table2x4167217[CU12],Table2x4167217[RCR]^{1,2,3}),1,3)</f>
        <v>-13.465811965811952</v>
      </c>
      <c r="W28">
        <f>INDEX(LINEST(Table2x4167217[CU13],Table2x4167217[RCR]^{1,2,3}),1,3)</f>
        <v>-15.982517482517494</v>
      </c>
      <c r="X28">
        <f>INDEX(LINEST(Table2x4167217[CU14],Table2x4167217[RCR]^{1,2,3}),1,3)</f>
        <v>-18.206293706293717</v>
      </c>
      <c r="Z28" t="s">
        <v>220</v>
      </c>
      <c r="AA28">
        <f>INDEX(LINEST(Table2x2174224[CU],Table2x2174224[RCR]^{1,2,3}),1,3)</f>
        <v>-16.911810411810404</v>
      </c>
      <c r="AB28">
        <f>INDEX(LINEST(Table2x2174224[CU1],Table2x2174224[RCR]^{1,2,3}),1,3)</f>
        <v>-21.557109557109559</v>
      </c>
      <c r="AC28">
        <f>INDEX(LINEST(Table2x2174224[CU2],Table2x2174224[RCR]^{1,2,3}),1,3)</f>
        <v>-25.320512820512835</v>
      </c>
      <c r="AD28">
        <f>INDEX(LINEST(Table2x2174224[CU3],Table2x2174224[RCR]^{1,2,3}),1,3)</f>
        <v>-16.587801087801079</v>
      </c>
      <c r="AE28">
        <f>INDEX(LINEST(Table2x2174224[CU4],Table2x2174224[RCR]^{1,2,3}),1,3)</f>
        <v>-20.803030303030312</v>
      </c>
      <c r="AF28">
        <f>INDEX(LINEST(Table2x2174224[CU5],Table2x2174224[RCR]^{1,2,3}),1,3)</f>
        <v>-23.927350427350419</v>
      </c>
      <c r="AG28">
        <f>INDEX(LINEST(Table2x2174224[CU6],Table2x2174224[RCR]^{1,2,3}),1,3)</f>
        <v>-15.226495726495727</v>
      </c>
      <c r="AH28">
        <f>INDEX(LINEST(Table2x2174224[CU7],Table2x2174224[RCR]^{1,2,3}),1,3)</f>
        <v>-18.989898989899004</v>
      </c>
      <c r="AI28">
        <f>INDEX(LINEST(Table2x2174224[CU8],Table2x2174224[RCR]^{1,2,3}),1,3)</f>
        <v>-21.808857808857809</v>
      </c>
      <c r="AJ28">
        <f>INDEX(LINEST(Table2x2174224[CU9],Table2x2174224[RCR]^{1,2,3}),1,3)</f>
        <v>-14.200077700077712</v>
      </c>
      <c r="AK28">
        <f>INDEX(LINEST(Table2x2174224[CU10],Table2x2174224[RCR]^{1,2,3}),1,3)</f>
        <v>-17.1961926961927</v>
      </c>
      <c r="AL28">
        <f>INDEX(LINEST(Table2x2174224[CU11],Table2x2174224[RCR]^{1,2,3}),1,3)</f>
        <v>-19.650349650349675</v>
      </c>
      <c r="AM28">
        <f>INDEX(LINEST(Table2x2174224[CU12],Table2x2174224[RCR]^{1,2,3}),1,3)</f>
        <v>-13.858974358974356</v>
      </c>
      <c r="AN28">
        <f>INDEX(LINEST(Table2x2174224[CU13],Table2x2174224[RCR]^{1,2,3}),1,3)</f>
        <v>-15.931623931623951</v>
      </c>
      <c r="AO28">
        <f>INDEX(LINEST(Table2x2174224[CU14],Table2x2174224[RCR]^{1,2,3}),1,3)</f>
        <v>-18.410256410256416</v>
      </c>
      <c r="AQ28" t="s">
        <v>220</v>
      </c>
      <c r="AR28" t="e">
        <f>INDEX(LINEST(Table1x4176226[CU],Table1x4176226[RCR]^{1,2,3}),1,3)</f>
        <v>#VALUE!</v>
      </c>
      <c r="AS28" t="e">
        <f>INDEX(LINEST(Table1x4176226[CU1],Table1x4176226[RCR]^{1,2,3}),1,3)</f>
        <v>#VALUE!</v>
      </c>
      <c r="AT28" t="e">
        <f>INDEX(LINEST(Table1x4176226[CU2],Table1x4176226[RCR]^{1,2,3}),1,3)</f>
        <v>#VALUE!</v>
      </c>
      <c r="AU28" t="e">
        <f>INDEX(LINEST(Table1x4176226[CU3],Table1x4176226[RCR]^{1,2,3}),1,3)</f>
        <v>#VALUE!</v>
      </c>
      <c r="AV28" t="e">
        <f>INDEX(LINEST(Table1x4176226[CU4],Table1x4176226[RCR]^{1,2,3}),1,3)</f>
        <v>#VALUE!</v>
      </c>
      <c r="AW28" t="e">
        <f>INDEX(LINEST(Table1x4176226[CU5],Table1x4176226[RCR]^{1,2,3}),1,3)</f>
        <v>#VALUE!</v>
      </c>
      <c r="AX28" t="e">
        <f>INDEX(LINEST(Table1x4176226[CU6],Table1x4176226[RCR]^{1,2,3}),1,3)</f>
        <v>#VALUE!</v>
      </c>
      <c r="AY28" t="e">
        <f>INDEX(LINEST(Table1x4176226[CU7],Table1x4176226[RCR]^{1,2,3}),1,3)</f>
        <v>#VALUE!</v>
      </c>
      <c r="AZ28" t="e">
        <f>INDEX(LINEST(Table1x4176226[CU8],Table1x4176226[RCR]^{1,2,3}),1,3)</f>
        <v>#VALUE!</v>
      </c>
      <c r="BA28" t="e">
        <f>INDEX(LINEST(Table1x4176226[CU9],Table1x4176226[RCR]^{1,2,3}),1,3)</f>
        <v>#VALUE!</v>
      </c>
      <c r="BB28" t="e">
        <f>INDEX(LINEST(Table1x4176226[CU10],Table1x4176226[RCR]^{1,2,3}),1,3)</f>
        <v>#VALUE!</v>
      </c>
      <c r="BC28" t="e">
        <f>INDEX(LINEST(Table1x4176226[CU11],Table1x4176226[RCR]^{1,2,3}),1,3)</f>
        <v>#VALUE!</v>
      </c>
      <c r="BD28" t="e">
        <f>INDEX(LINEST(Table1x4176226[CU12],Table1x4176226[RCR]^{1,2,3}),1,3)</f>
        <v>#VALUE!</v>
      </c>
      <c r="BE28" t="e">
        <f>INDEX(LINEST(Table1x4176226[CU13],Table1x4176226[RCR]^{1,2,3}),1,3)</f>
        <v>#VALUE!</v>
      </c>
      <c r="BF28" t="e">
        <f>INDEX(LINEST(Table1x4176226[CU14],Table1x4176226[RCR]^{1,2,3}),1,3)</f>
        <v>#VALUE!</v>
      </c>
    </row>
    <row r="29" spans="1:63" x14ac:dyDescent="0.25">
      <c r="C29" s="3"/>
      <c r="H29" s="5"/>
      <c r="I29" t="s">
        <v>221</v>
      </c>
      <c r="J29">
        <f>INDEX(LINEST(Table2x4167217[CU],Table2x4167217[RCR]^{1,2,3}),1,4)</f>
        <v>117.08391608391605</v>
      </c>
      <c r="K29">
        <f>INDEX(LINEST(Table2x4167217[CU1],Table2x4167217[RCR]^{1,2,3}),1,4)</f>
        <v>116.81818181818181</v>
      </c>
      <c r="L29">
        <f>INDEX(LINEST(Table2x4167217[CU2],Table2x4167217[RCR]^{1,2,3}),1,4)</f>
        <v>116.07692307692309</v>
      </c>
      <c r="M29">
        <f>INDEX(LINEST(Table2x4167217[CU3],Table2x4167217[RCR]^{1,2,3}),1,4)</f>
        <v>113.80419580419583</v>
      </c>
      <c r="N29">
        <f>INDEX(LINEST(Table2x4167217[CU4],Table2x4167217[RCR]^{1,2,3}),1,4)</f>
        <v>113.51048951048948</v>
      </c>
      <c r="O29">
        <f>INDEX(LINEST(Table2x4167217[CU5],Table2x4167217[RCR]^{1,2,3}),1,4)</f>
        <v>113.12587412587411</v>
      </c>
      <c r="P29">
        <f>INDEX(LINEST(Table2x4167217[CU6],Table2x4167217[RCR]^{1,2,3}),1,4)</f>
        <v>106.79020979020977</v>
      </c>
      <c r="Q29">
        <f>INDEX(LINEST(Table2x4167217[CU7],Table2x4167217[RCR]^{1,2,3}),1,4)</f>
        <v>106.68531468531469</v>
      </c>
      <c r="R29">
        <f>INDEX(LINEST(Table2x4167217[CU8],Table2x4167217[RCR]^{1,2,3}),1,4)</f>
        <v>106.52447552447551</v>
      </c>
      <c r="S29">
        <f>INDEX(LINEST(Table2x4167217[CU9],Table2x4167217[RCR]^{1,2,3}),1,4)</f>
        <v>100.85314685314682</v>
      </c>
      <c r="T29">
        <f>INDEX(LINEST(Table2x4167217[CU10],Table2x4167217[RCR]^{1,2,3}),1,4)</f>
        <v>100.86013986013984</v>
      </c>
      <c r="U29">
        <f>INDEX(LINEST(Table2x4167217[CU11],Table2x4167217[RCR]^{1,2,3}),1,4)</f>
        <v>100.59440559440559</v>
      </c>
      <c r="V29">
        <f>INDEX(LINEST(Table2x4167217[CU12],Table2x4167217[RCR]^{1,2,3}),1,4)</f>
        <v>95.125874125874105</v>
      </c>
      <c r="W29">
        <f>INDEX(LINEST(Table2x4167217[CU13],Table2x4167217[RCR]^{1,2,3}),1,4)</f>
        <v>94.741258741258719</v>
      </c>
      <c r="X29">
        <f>INDEX(LINEST(Table2x4167217[CU14],Table2x4167217[RCR]^{1,2,3}),1,4)</f>
        <v>94.790209790209772</v>
      </c>
      <c r="Z29" t="s">
        <v>221</v>
      </c>
      <c r="AA29">
        <f>INDEX(LINEST(Table2x2174224[CU],Table2x2174224[RCR]^{1,2,3}),1,4)</f>
        <v>117.11888111888111</v>
      </c>
      <c r="AB29">
        <f>INDEX(LINEST(Table2x2174224[CU1],Table2x2174224[RCR]^{1,2,3}),1,4)</f>
        <v>116.72027972027968</v>
      </c>
      <c r="AC29">
        <f>INDEX(LINEST(Table2x2174224[CU2],Table2x2174224[RCR]^{1,2,3}),1,4)</f>
        <v>116.34965034965032</v>
      </c>
      <c r="AD29">
        <f>INDEX(LINEST(Table2x2174224[CU3],Table2x2174224[RCR]^{1,2,3}),1,4)</f>
        <v>114.11188811188808</v>
      </c>
      <c r="AE29">
        <f>INDEX(LINEST(Table2x2174224[CU4],Table2x2174224[RCR]^{1,2,3}),1,4)</f>
        <v>113.46853146853144</v>
      </c>
      <c r="AF29">
        <f>INDEX(LINEST(Table2x2174224[CU5],Table2x2174224[RCR]^{1,2,3}),1,4)</f>
        <v>113.27272727272724</v>
      </c>
      <c r="AG29">
        <f>INDEX(LINEST(Table2x2174224[CU6],Table2x2174224[RCR]^{1,2,3}),1,4)</f>
        <v>106.99300699300699</v>
      </c>
      <c r="AH29">
        <f>INDEX(LINEST(Table2x2174224[CU7],Table2x2174224[RCR]^{1,2,3}),1,4)</f>
        <v>106.93706293706293</v>
      </c>
      <c r="AI29">
        <f>INDEX(LINEST(Table2x2174224[CU8],Table2x2174224[RCR]^{1,2,3}),1,4)</f>
        <v>106.76223776223773</v>
      </c>
      <c r="AJ29">
        <f>INDEX(LINEST(Table2x2174224[CU9],Table2x2174224[RCR]^{1,2,3}),1,4)</f>
        <v>100.87412587412587</v>
      </c>
      <c r="AK29">
        <f>INDEX(LINEST(Table2x2174224[CU10],Table2x2174224[RCR]^{1,2,3}),1,4)</f>
        <v>100.81818181818181</v>
      </c>
      <c r="AL29">
        <f>INDEX(LINEST(Table2x2174224[CU11],Table2x2174224[RCR]^{1,2,3}),1,4)</f>
        <v>100.74825174825176</v>
      </c>
      <c r="AM29">
        <f>INDEX(LINEST(Table2x2174224[CU12],Table2x2174224[RCR]^{1,2,3}),1,4)</f>
        <v>95.818181818181799</v>
      </c>
      <c r="AN29">
        <f>INDEX(LINEST(Table2x2174224[CU13],Table2x2174224[RCR]^{1,2,3}),1,4)</f>
        <v>95.769230769230774</v>
      </c>
      <c r="AO29">
        <f>INDEX(LINEST(Table2x2174224[CU14],Table2x2174224[RCR]^{1,2,3}),1,4)</f>
        <v>95.874125874125852</v>
      </c>
      <c r="AQ29" t="s">
        <v>221</v>
      </c>
      <c r="AR29" t="e">
        <f>INDEX(LINEST(Table1x4176226[CU],Table1x4176226[RCR]^{1,2,3}),1,4)</f>
        <v>#VALUE!</v>
      </c>
      <c r="AS29" t="e">
        <f>INDEX(LINEST(Table1x4176226[CU1],Table1x4176226[RCR]^{1,2,3}),1,4)</f>
        <v>#VALUE!</v>
      </c>
      <c r="AT29" t="e">
        <f>INDEX(LINEST(Table1x4176226[CU2],Table1x4176226[RCR]^{1,2,3}),1,4)</f>
        <v>#VALUE!</v>
      </c>
      <c r="AU29" t="e">
        <f>INDEX(LINEST(Table1x4176226[CU3],Table1x4176226[RCR]^{1,2,3}),1,4)</f>
        <v>#VALUE!</v>
      </c>
      <c r="AV29" t="e">
        <f>INDEX(LINEST(Table1x4176226[CU4],Table1x4176226[RCR]^{1,2,3}),1,4)</f>
        <v>#VALUE!</v>
      </c>
      <c r="AW29" t="e">
        <f>INDEX(LINEST(Table1x4176226[CU5],Table1x4176226[RCR]^{1,2,3}),1,4)</f>
        <v>#VALUE!</v>
      </c>
      <c r="AX29" t="e">
        <f>INDEX(LINEST(Table1x4176226[CU6],Table1x4176226[RCR]^{1,2,3}),1,4)</f>
        <v>#VALUE!</v>
      </c>
      <c r="AY29" t="e">
        <f>INDEX(LINEST(Table1x4176226[CU7],Table1x4176226[RCR]^{1,2,3}),1,4)</f>
        <v>#VALUE!</v>
      </c>
      <c r="AZ29" t="e">
        <f>INDEX(LINEST(Table1x4176226[CU8],Table1x4176226[RCR]^{1,2,3}),1,4)</f>
        <v>#VALUE!</v>
      </c>
      <c r="BA29" t="e">
        <f>INDEX(LINEST(Table1x4176226[CU9],Table1x4176226[RCR]^{1,2,3}),1,4)</f>
        <v>#VALUE!</v>
      </c>
      <c r="BB29" t="e">
        <f>INDEX(LINEST(Table1x4176226[CU10],Table1x4176226[RCR]^{1,2,3}),1,4)</f>
        <v>#VALUE!</v>
      </c>
      <c r="BC29" t="e">
        <f>INDEX(LINEST(Table1x4176226[CU11],Table1x4176226[RCR]^{1,2,3}),1,4)</f>
        <v>#VALUE!</v>
      </c>
      <c r="BD29" t="e">
        <f>INDEX(LINEST(Table1x4176226[CU12],Table1x4176226[RCR]^{1,2,3}),1,4)</f>
        <v>#VALUE!</v>
      </c>
      <c r="BE29" t="e">
        <f>INDEX(LINEST(Table1x4176226[CU13],Table1x4176226[RCR]^{1,2,3}),1,4)</f>
        <v>#VALUE!</v>
      </c>
      <c r="BF29" t="e">
        <f>INDEX(LINEST(Table1x4176226[CU14],Table1x4176226[RCR]^{1,2,3}),1,4)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1.28</v>
      </c>
      <c r="F44" s="12">
        <f>E44*(C14-C15)</f>
        <v>-3.2</v>
      </c>
      <c r="H44" t="s">
        <v>25</v>
      </c>
      <c r="I44">
        <v>30</v>
      </c>
      <c r="J44">
        <v>10</v>
      </c>
      <c r="K44">
        <v>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1.26</v>
      </c>
      <c r="F45" s="12">
        <f>E45*(C14-C15)</f>
        <v>-3.15</v>
      </c>
      <c r="H45" t="s">
        <v>27</v>
      </c>
      <c r="I45">
        <v>10</v>
      </c>
      <c r="J45">
        <v>50</v>
      </c>
      <c r="K45">
        <v>4</v>
      </c>
      <c r="L45" t="e">
        <f>V25</f>
        <v>#DIV/0!</v>
      </c>
    </row>
    <row r="46" spans="1:63" x14ac:dyDescent="0.25">
      <c r="B46" t="s">
        <v>1346</v>
      </c>
      <c r="C46" s="1" t="e">
        <f>IF(C39=1,#REF!/2,C44/2)</f>
        <v>#N/A</v>
      </c>
      <c r="D46" t="s">
        <v>8</v>
      </c>
      <c r="H46" t="s">
        <v>28</v>
      </c>
      <c r="I46">
        <v>10</v>
      </c>
      <c r="J46">
        <v>30</v>
      </c>
      <c r="K46">
        <v>4</v>
      </c>
      <c r="L46" t="e">
        <f>W25</f>
        <v>#DIV/0!</v>
      </c>
    </row>
    <row r="47" spans="1:63" x14ac:dyDescent="0.25">
      <c r="B47" t="s">
        <v>1347</v>
      </c>
      <c r="C47" s="1" t="e">
        <f>IF(C40=1,#REF!/2,C45/2)</f>
        <v>#N/A</v>
      </c>
      <c r="D47" t="s">
        <v>8</v>
      </c>
      <c r="H47" t="s">
        <v>29</v>
      </c>
      <c r="I47">
        <v>10</v>
      </c>
      <c r="J47">
        <v>10</v>
      </c>
      <c r="K47">
        <v>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>
        <v>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2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2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2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2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2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2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2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2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2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2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2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2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2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22" x14ac:dyDescent="0.25">
      <c r="I80" t="s">
        <v>107</v>
      </c>
      <c r="J80" t="s">
        <v>30</v>
      </c>
      <c r="K80" t="s">
        <v>31</v>
      </c>
      <c r="N80" t="s">
        <v>11</v>
      </c>
      <c r="O80" t="s">
        <v>12</v>
      </c>
      <c r="P80" t="s">
        <v>15</v>
      </c>
      <c r="R80" t="s">
        <v>143</v>
      </c>
      <c r="S80" t="s">
        <v>135</v>
      </c>
      <c r="T80" t="s">
        <v>136</v>
      </c>
      <c r="V80" t="s">
        <v>138</v>
      </c>
    </row>
    <row r="81" spans="9:22" x14ac:dyDescent="0.25">
      <c r="I81" s="16" t="s">
        <v>1327</v>
      </c>
      <c r="J81" s="17">
        <v>2542</v>
      </c>
      <c r="K81" s="17">
        <v>29</v>
      </c>
      <c r="N81">
        <v>80</v>
      </c>
      <c r="O81">
        <v>50</v>
      </c>
      <c r="P81">
        <v>20</v>
      </c>
      <c r="R81">
        <v>4</v>
      </c>
      <c r="S81">
        <v>1.26</v>
      </c>
      <c r="T81">
        <v>1.28</v>
      </c>
      <c r="V81">
        <v>0</v>
      </c>
    </row>
    <row r="82" spans="9:22" x14ac:dyDescent="0.25">
      <c r="I82" s="16" t="s">
        <v>1328</v>
      </c>
      <c r="J82" s="17">
        <v>4421</v>
      </c>
      <c r="K82" s="17">
        <v>48</v>
      </c>
      <c r="N82">
        <v>70</v>
      </c>
      <c r="O82">
        <v>30</v>
      </c>
      <c r="R82">
        <v>2</v>
      </c>
      <c r="S82" s="11">
        <v>1.22</v>
      </c>
      <c r="T82">
        <v>1.26</v>
      </c>
      <c r="V82">
        <v>90</v>
      </c>
    </row>
    <row r="83" spans="9:22" x14ac:dyDescent="0.25">
      <c r="I83" s="16" t="s">
        <v>1329</v>
      </c>
      <c r="J83" s="17">
        <v>2649</v>
      </c>
      <c r="K83" s="17">
        <v>29</v>
      </c>
      <c r="N83">
        <v>50</v>
      </c>
      <c r="O83">
        <v>10</v>
      </c>
    </row>
    <row r="84" spans="9:22" x14ac:dyDescent="0.25">
      <c r="I84" s="16" t="s">
        <v>1330</v>
      </c>
      <c r="J84" s="17">
        <v>4607</v>
      </c>
      <c r="K84" s="17">
        <v>48</v>
      </c>
      <c r="N84">
        <v>30</v>
      </c>
    </row>
    <row r="85" spans="9:22" x14ac:dyDescent="0.25">
      <c r="I85" s="16" t="s">
        <v>1331</v>
      </c>
      <c r="J85" s="17">
        <v>2585</v>
      </c>
      <c r="K85" s="17">
        <v>29</v>
      </c>
      <c r="N85">
        <v>10</v>
      </c>
    </row>
    <row r="86" spans="9:22" x14ac:dyDescent="0.25">
      <c r="I86" s="16" t="s">
        <v>1332</v>
      </c>
      <c r="J86" s="17">
        <v>4496</v>
      </c>
      <c r="K86" s="17">
        <v>48</v>
      </c>
    </row>
    <row r="87" spans="9:22" x14ac:dyDescent="0.25">
      <c r="I87" s="16" t="s">
        <v>1333</v>
      </c>
      <c r="J87" s="17">
        <v>2694</v>
      </c>
      <c r="K87" s="17">
        <v>29</v>
      </c>
    </row>
    <row r="88" spans="9:22" x14ac:dyDescent="0.25">
      <c r="I88" s="16" t="s">
        <v>1334</v>
      </c>
      <c r="J88" s="17">
        <v>4686</v>
      </c>
      <c r="K88" s="17">
        <v>48</v>
      </c>
    </row>
    <row r="89" spans="9:22" x14ac:dyDescent="0.25">
      <c r="I89" s="16" t="s">
        <v>1335</v>
      </c>
      <c r="J89" s="17">
        <v>2659</v>
      </c>
      <c r="K89" s="17">
        <v>29</v>
      </c>
    </row>
    <row r="90" spans="9:22" x14ac:dyDescent="0.25">
      <c r="I90" s="16" t="s">
        <v>1336</v>
      </c>
      <c r="J90" s="17">
        <v>4624</v>
      </c>
      <c r="K90" s="17">
        <v>48</v>
      </c>
    </row>
    <row r="91" spans="9:22" x14ac:dyDescent="0.25">
      <c r="I91" s="16" t="s">
        <v>1337</v>
      </c>
      <c r="J91" s="17">
        <v>2771</v>
      </c>
      <c r="K91" s="17">
        <v>29</v>
      </c>
    </row>
    <row r="92" spans="9:22" x14ac:dyDescent="0.25">
      <c r="I92" s="16" t="s">
        <v>1338</v>
      </c>
      <c r="J92" s="17">
        <v>4820</v>
      </c>
      <c r="K92" s="17">
        <v>48</v>
      </c>
    </row>
  </sheetData>
  <sheetProtection algorithmName="SHA-512" hashValue="vpbtHiEfVSZevRoO0jGuUXiWaoQz2hD9sAsl3i6KDQAYe1CvPW73/nHBv+0YW4J4LG3l1LbhqQ/nJtmyxfutBw==" saltValue="SaONzF9VPTiUvg5w7fj20g==" spinCount="100000" sheet="1" objects="1" scenarios="1" selectLockedCells="1"/>
  <mergeCells count="4">
    <mergeCell ref="BI5:BK5"/>
    <mergeCell ref="BI6:BK6"/>
    <mergeCell ref="BI7:BK7"/>
    <mergeCell ref="A52:D55"/>
  </mergeCells>
  <conditionalFormatting sqref="C44">
    <cfRule type="cellIs" dxfId="11" priority="2" operator="greaterThan">
      <formula>$F$44</formula>
    </cfRule>
  </conditionalFormatting>
  <conditionalFormatting sqref="C45">
    <cfRule type="cellIs" dxfId="10" priority="1" operator="greaterThan">
      <formula>$F$45</formula>
    </cfRule>
  </conditionalFormatting>
  <dataValidations count="4">
    <dataValidation type="list" allowBlank="1" showInputMessage="1" showErrorMessage="1" sqref="C43" xr:uid="{6D4743A7-656C-4619-A472-054AE4957151}">
      <formula1>$V$81:$V$82</formula1>
    </dataValidation>
    <dataValidation type="list" allowBlank="1" showInputMessage="1" showErrorMessage="1" sqref="C18" xr:uid="{CD4F46FE-5CD7-4A73-84BC-50E421E1993B}">
      <formula1>$O$81:$O$83</formula1>
    </dataValidation>
    <dataValidation type="list" allowBlank="1" showInputMessage="1" showErrorMessage="1" sqref="C17" xr:uid="{3109712D-3679-4B76-8442-AC53618749BF}">
      <formula1>$N$81:$N$85</formula1>
    </dataValidation>
    <dataValidation type="list" allowBlank="1" showInputMessage="1" showErrorMessage="1" sqref="C21" xr:uid="{50DA5A86-4C56-4E5C-8E7F-5C37D9C51F46}">
      <formula1>$I$81:$I$92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6C6B7-67A1-4B31-8A3E-1009ECB039E2}">
  <sheetPr>
    <pageSetUpPr fitToPage="1"/>
  </sheetPr>
  <dimension ref="A5:BK98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5.140625" customWidth="1"/>
    <col min="3" max="3" width="24.57031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802</v>
      </c>
      <c r="BH7" s="5" t="s">
        <v>1345</v>
      </c>
      <c r="BI7" s="37"/>
      <c r="BJ7" s="37"/>
      <c r="BK7" s="37"/>
    </row>
    <row r="9" spans="1:63" x14ac:dyDescent="0.25">
      <c r="I9" s="6">
        <v>4</v>
      </c>
      <c r="Z9" s="2">
        <v>2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118</v>
      </c>
      <c r="K13">
        <v>118</v>
      </c>
      <c r="L13">
        <v>118</v>
      </c>
      <c r="M13">
        <v>114</v>
      </c>
      <c r="N13">
        <v>114</v>
      </c>
      <c r="O13">
        <v>114</v>
      </c>
      <c r="P13">
        <v>108</v>
      </c>
      <c r="Q13">
        <v>108</v>
      </c>
      <c r="R13">
        <v>108</v>
      </c>
      <c r="S13">
        <v>102</v>
      </c>
      <c r="T13">
        <v>102</v>
      </c>
      <c r="U13">
        <v>102</v>
      </c>
      <c r="V13">
        <v>97</v>
      </c>
      <c r="W13">
        <v>97</v>
      </c>
      <c r="X13">
        <v>97</v>
      </c>
      <c r="Z13">
        <v>0</v>
      </c>
      <c r="AA13">
        <v>118</v>
      </c>
      <c r="AB13">
        <v>118</v>
      </c>
      <c r="AC13">
        <v>118</v>
      </c>
      <c r="AD13">
        <v>114</v>
      </c>
      <c r="AE13">
        <v>114</v>
      </c>
      <c r="AF13">
        <v>114</v>
      </c>
      <c r="AG13">
        <v>108</v>
      </c>
      <c r="AH13">
        <v>108</v>
      </c>
      <c r="AI13">
        <v>108</v>
      </c>
      <c r="AJ13">
        <v>102</v>
      </c>
      <c r="AK13">
        <v>102</v>
      </c>
      <c r="AL13">
        <v>102</v>
      </c>
      <c r="AM13">
        <v>97</v>
      </c>
      <c r="AN13">
        <v>97</v>
      </c>
      <c r="AO13">
        <v>97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103</v>
      </c>
      <c r="K14">
        <v>99</v>
      </c>
      <c r="L14">
        <v>95</v>
      </c>
      <c r="M14">
        <v>100</v>
      </c>
      <c r="N14">
        <v>96</v>
      </c>
      <c r="O14">
        <v>93</v>
      </c>
      <c r="P14">
        <v>95</v>
      </c>
      <c r="Q14">
        <v>92</v>
      </c>
      <c r="R14">
        <v>89</v>
      </c>
      <c r="S14">
        <v>90</v>
      </c>
      <c r="T14">
        <v>87</v>
      </c>
      <c r="U14">
        <v>85</v>
      </c>
      <c r="V14">
        <v>85</v>
      </c>
      <c r="W14">
        <v>83</v>
      </c>
      <c r="X14">
        <v>82</v>
      </c>
      <c r="Z14">
        <v>1</v>
      </c>
      <c r="AA14">
        <v>103</v>
      </c>
      <c r="AB14">
        <v>99</v>
      </c>
      <c r="AC14">
        <v>95</v>
      </c>
      <c r="AD14">
        <v>100</v>
      </c>
      <c r="AE14">
        <v>96</v>
      </c>
      <c r="AF14">
        <v>93</v>
      </c>
      <c r="AG14">
        <v>95</v>
      </c>
      <c r="AH14">
        <v>92</v>
      </c>
      <c r="AI14">
        <v>89</v>
      </c>
      <c r="AJ14">
        <v>90</v>
      </c>
      <c r="AK14">
        <v>88</v>
      </c>
      <c r="AL14">
        <v>85</v>
      </c>
      <c r="AM14">
        <v>86</v>
      </c>
      <c r="AN14">
        <v>84</v>
      </c>
      <c r="AO14">
        <v>82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84</v>
      </c>
      <c r="L15">
        <v>78</v>
      </c>
      <c r="M15">
        <v>88</v>
      </c>
      <c r="N15">
        <v>82</v>
      </c>
      <c r="O15">
        <v>77</v>
      </c>
      <c r="P15">
        <v>83</v>
      </c>
      <c r="Q15">
        <v>78</v>
      </c>
      <c r="R15">
        <v>74</v>
      </c>
      <c r="S15">
        <v>79</v>
      </c>
      <c r="T15">
        <v>75</v>
      </c>
      <c r="U15">
        <v>71</v>
      </c>
      <c r="V15">
        <v>75</v>
      </c>
      <c r="W15">
        <v>72</v>
      </c>
      <c r="X15">
        <v>69</v>
      </c>
      <c r="Z15">
        <v>2</v>
      </c>
      <c r="AA15">
        <v>90</v>
      </c>
      <c r="AB15">
        <v>84</v>
      </c>
      <c r="AC15">
        <v>78</v>
      </c>
      <c r="AD15">
        <v>88</v>
      </c>
      <c r="AE15">
        <v>82</v>
      </c>
      <c r="AF15">
        <v>77</v>
      </c>
      <c r="AG15">
        <v>84</v>
      </c>
      <c r="AH15">
        <v>79</v>
      </c>
      <c r="AI15">
        <v>74</v>
      </c>
      <c r="AJ15">
        <v>80</v>
      </c>
      <c r="AK15">
        <v>75</v>
      </c>
      <c r="AL15">
        <v>72</v>
      </c>
      <c r="AM15">
        <v>76</v>
      </c>
      <c r="AN15">
        <v>72</v>
      </c>
      <c r="AO15">
        <v>69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65</v>
      </c>
      <c r="M16">
        <v>78</v>
      </c>
      <c r="N16">
        <v>70</v>
      </c>
      <c r="O16">
        <v>64</v>
      </c>
      <c r="P16">
        <v>74</v>
      </c>
      <c r="Q16">
        <v>68</v>
      </c>
      <c r="R16">
        <v>63</v>
      </c>
      <c r="S16">
        <v>70</v>
      </c>
      <c r="T16">
        <v>65</v>
      </c>
      <c r="U16">
        <v>61</v>
      </c>
      <c r="V16">
        <v>67</v>
      </c>
      <c r="W16">
        <v>63</v>
      </c>
      <c r="X16">
        <v>59</v>
      </c>
      <c r="Z16">
        <v>3</v>
      </c>
      <c r="AA16">
        <v>80</v>
      </c>
      <c r="AB16">
        <v>72</v>
      </c>
      <c r="AC16">
        <v>66</v>
      </c>
      <c r="AD16">
        <v>78</v>
      </c>
      <c r="AE16">
        <v>71</v>
      </c>
      <c r="AF16">
        <v>65</v>
      </c>
      <c r="AG16">
        <v>74</v>
      </c>
      <c r="AH16">
        <v>68</v>
      </c>
      <c r="AI16">
        <v>63</v>
      </c>
      <c r="AJ16">
        <v>71</v>
      </c>
      <c r="AK16">
        <v>66</v>
      </c>
      <c r="AL16">
        <v>61</v>
      </c>
      <c r="AM16">
        <v>68</v>
      </c>
      <c r="AN16">
        <v>63</v>
      </c>
      <c r="AO16">
        <v>59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71</v>
      </c>
      <c r="K17">
        <v>62</v>
      </c>
      <c r="L17">
        <v>56</v>
      </c>
      <c r="M17">
        <v>69</v>
      </c>
      <c r="N17">
        <v>61</v>
      </c>
      <c r="O17">
        <v>55</v>
      </c>
      <c r="P17">
        <v>66</v>
      </c>
      <c r="Q17">
        <v>59</v>
      </c>
      <c r="R17">
        <v>54</v>
      </c>
      <c r="S17">
        <v>63</v>
      </c>
      <c r="T17">
        <v>57</v>
      </c>
      <c r="U17">
        <v>52</v>
      </c>
      <c r="V17">
        <v>60</v>
      </c>
      <c r="W17">
        <v>55</v>
      </c>
      <c r="X17">
        <v>51</v>
      </c>
      <c r="Z17">
        <v>4</v>
      </c>
      <c r="AA17">
        <v>71</v>
      </c>
      <c r="AB17">
        <v>63</v>
      </c>
      <c r="AC17">
        <v>56</v>
      </c>
      <c r="AD17">
        <v>69</v>
      </c>
      <c r="AE17">
        <v>62</v>
      </c>
      <c r="AF17">
        <v>55</v>
      </c>
      <c r="AG17">
        <v>66</v>
      </c>
      <c r="AH17">
        <v>60</v>
      </c>
      <c r="AI17">
        <v>54</v>
      </c>
      <c r="AJ17">
        <v>63</v>
      </c>
      <c r="AK17">
        <v>58</v>
      </c>
      <c r="AL17">
        <v>53</v>
      </c>
      <c r="AM17">
        <v>61</v>
      </c>
      <c r="AN17">
        <v>56</v>
      </c>
      <c r="AO17">
        <v>52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64</v>
      </c>
      <c r="K18">
        <v>55</v>
      </c>
      <c r="L18">
        <v>48</v>
      </c>
      <c r="M18">
        <v>62</v>
      </c>
      <c r="N18">
        <v>54</v>
      </c>
      <c r="O18">
        <v>48</v>
      </c>
      <c r="P18">
        <v>59</v>
      </c>
      <c r="Q18">
        <v>52</v>
      </c>
      <c r="R18">
        <v>47</v>
      </c>
      <c r="S18">
        <v>57</v>
      </c>
      <c r="T18">
        <v>51</v>
      </c>
      <c r="U18">
        <v>46</v>
      </c>
      <c r="V18">
        <v>54</v>
      </c>
      <c r="W18">
        <v>49</v>
      </c>
      <c r="X18">
        <v>45</v>
      </c>
      <c r="Z18">
        <v>5</v>
      </c>
      <c r="AA18">
        <v>64</v>
      </c>
      <c r="AB18">
        <v>55</v>
      </c>
      <c r="AC18">
        <v>49</v>
      </c>
      <c r="AD18">
        <v>62</v>
      </c>
      <c r="AE18">
        <v>54</v>
      </c>
      <c r="AF18">
        <v>48</v>
      </c>
      <c r="AG18">
        <v>60</v>
      </c>
      <c r="AH18">
        <v>53</v>
      </c>
      <c r="AI18">
        <v>47</v>
      </c>
      <c r="AJ18">
        <v>57</v>
      </c>
      <c r="AK18">
        <v>51</v>
      </c>
      <c r="AL18">
        <v>46</v>
      </c>
      <c r="AM18">
        <v>55</v>
      </c>
      <c r="AN18">
        <v>50</v>
      </c>
      <c r="AO18">
        <v>45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57</v>
      </c>
      <c r="K19">
        <v>49</v>
      </c>
      <c r="L19">
        <v>42</v>
      </c>
      <c r="M19">
        <v>56</v>
      </c>
      <c r="N19">
        <v>48</v>
      </c>
      <c r="O19">
        <v>42</v>
      </c>
      <c r="P19">
        <v>54</v>
      </c>
      <c r="Q19">
        <v>47</v>
      </c>
      <c r="R19">
        <v>41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40</v>
      </c>
      <c r="Z19">
        <v>6</v>
      </c>
      <c r="AA19">
        <v>58</v>
      </c>
      <c r="AB19">
        <v>49</v>
      </c>
      <c r="AC19">
        <v>43</v>
      </c>
      <c r="AD19">
        <v>56</v>
      </c>
      <c r="AE19">
        <v>48</v>
      </c>
      <c r="AF19">
        <v>42</v>
      </c>
      <c r="AG19">
        <v>54</v>
      </c>
      <c r="AH19">
        <v>47</v>
      </c>
      <c r="AI19">
        <v>42</v>
      </c>
      <c r="AJ19">
        <v>52</v>
      </c>
      <c r="AK19">
        <v>46</v>
      </c>
      <c r="AL19">
        <v>41</v>
      </c>
      <c r="AM19">
        <v>50</v>
      </c>
      <c r="AN19">
        <v>44</v>
      </c>
      <c r="AO19">
        <v>40</v>
      </c>
      <c r="AQ19">
        <v>6</v>
      </c>
    </row>
    <row r="20" spans="1:63" x14ac:dyDescent="0.25">
      <c r="I20">
        <v>7</v>
      </c>
      <c r="J20">
        <v>52</v>
      </c>
      <c r="K20">
        <v>44</v>
      </c>
      <c r="L20">
        <v>38</v>
      </c>
      <c r="M20">
        <v>51</v>
      </c>
      <c r="N20">
        <v>43</v>
      </c>
      <c r="O20">
        <v>37</v>
      </c>
      <c r="P20">
        <v>49</v>
      </c>
      <c r="Q20">
        <v>42</v>
      </c>
      <c r="R20">
        <v>37</v>
      </c>
      <c r="S20">
        <v>47</v>
      </c>
      <c r="T20">
        <v>41</v>
      </c>
      <c r="U20">
        <v>36</v>
      </c>
      <c r="V20">
        <v>45</v>
      </c>
      <c r="W20">
        <v>40</v>
      </c>
      <c r="X20">
        <v>35</v>
      </c>
      <c r="Z20">
        <v>7</v>
      </c>
      <c r="AA20">
        <v>52</v>
      </c>
      <c r="AB20">
        <v>44</v>
      </c>
      <c r="AC20">
        <v>38</v>
      </c>
      <c r="AD20">
        <v>51</v>
      </c>
      <c r="AE20">
        <v>43</v>
      </c>
      <c r="AF20">
        <v>38</v>
      </c>
      <c r="AG20">
        <v>49</v>
      </c>
      <c r="AH20">
        <v>42</v>
      </c>
      <c r="AI20">
        <v>37</v>
      </c>
      <c r="AJ20">
        <v>48</v>
      </c>
      <c r="AK20">
        <v>41</v>
      </c>
      <c r="AL20">
        <v>36</v>
      </c>
      <c r="AM20">
        <v>46</v>
      </c>
      <c r="AN20">
        <v>40</v>
      </c>
      <c r="AO20">
        <v>36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>
        <f>IF(ISNUMBER(SEARCH("X 4",C21)),4,2)</f>
        <v>2</v>
      </c>
      <c r="I21">
        <v>8</v>
      </c>
      <c r="J21">
        <v>48</v>
      </c>
      <c r="K21">
        <v>39</v>
      </c>
      <c r="L21">
        <v>34</v>
      </c>
      <c r="M21">
        <v>47</v>
      </c>
      <c r="N21">
        <v>39</v>
      </c>
      <c r="O21">
        <v>33</v>
      </c>
      <c r="P21">
        <v>45</v>
      </c>
      <c r="Q21">
        <v>38</v>
      </c>
      <c r="R21">
        <v>33</v>
      </c>
      <c r="S21">
        <v>43</v>
      </c>
      <c r="T21">
        <v>37</v>
      </c>
      <c r="U21">
        <v>32</v>
      </c>
      <c r="V21">
        <v>42</v>
      </c>
      <c r="W21">
        <v>36</v>
      </c>
      <c r="X21">
        <v>32</v>
      </c>
      <c r="Z21">
        <v>8</v>
      </c>
      <c r="AA21">
        <v>48</v>
      </c>
      <c r="AB21">
        <v>40</v>
      </c>
      <c r="AC21">
        <v>34</v>
      </c>
      <c r="AD21">
        <v>47</v>
      </c>
      <c r="AE21">
        <v>39</v>
      </c>
      <c r="AF21">
        <v>34</v>
      </c>
      <c r="AG21">
        <v>45</v>
      </c>
      <c r="AH21">
        <v>38</v>
      </c>
      <c r="AI21">
        <v>33</v>
      </c>
      <c r="AJ21">
        <v>44</v>
      </c>
      <c r="AK21">
        <v>37</v>
      </c>
      <c r="AL21">
        <v>33</v>
      </c>
      <c r="AM21">
        <v>42</v>
      </c>
      <c r="AN21">
        <v>36</v>
      </c>
      <c r="AO21">
        <v>32</v>
      </c>
      <c r="AQ21">
        <v>8</v>
      </c>
    </row>
    <row r="22" spans="1:63" x14ac:dyDescent="0.25">
      <c r="B22" t="s">
        <v>30</v>
      </c>
      <c r="C22" s="4" t="e">
        <f>VLOOKUP(C21,Model52393103[],2,0)</f>
        <v>#N/A</v>
      </c>
      <c r="D22" t="s">
        <v>131</v>
      </c>
      <c r="I22">
        <v>9</v>
      </c>
      <c r="J22">
        <v>44</v>
      </c>
      <c r="K22">
        <v>36</v>
      </c>
      <c r="L22">
        <v>30</v>
      </c>
      <c r="M22">
        <v>43</v>
      </c>
      <c r="N22">
        <v>35</v>
      </c>
      <c r="O22">
        <v>30</v>
      </c>
      <c r="P22">
        <v>41</v>
      </c>
      <c r="Q22">
        <v>35</v>
      </c>
      <c r="R22">
        <v>30</v>
      </c>
      <c r="S22">
        <v>40</v>
      </c>
      <c r="T22">
        <v>34</v>
      </c>
      <c r="U22">
        <v>29</v>
      </c>
      <c r="V22">
        <v>39</v>
      </c>
      <c r="W22">
        <v>33</v>
      </c>
      <c r="X22">
        <v>29</v>
      </c>
      <c r="Z22">
        <v>9</v>
      </c>
      <c r="AA22">
        <v>44</v>
      </c>
      <c r="AB22">
        <v>36</v>
      </c>
      <c r="AC22">
        <v>31</v>
      </c>
      <c r="AD22">
        <v>43</v>
      </c>
      <c r="AE22">
        <v>36</v>
      </c>
      <c r="AF22">
        <v>31</v>
      </c>
      <c r="AG22">
        <v>42</v>
      </c>
      <c r="AH22">
        <v>35</v>
      </c>
      <c r="AI22">
        <v>30</v>
      </c>
      <c r="AJ22">
        <v>40</v>
      </c>
      <c r="AK22">
        <v>34</v>
      </c>
      <c r="AL22">
        <v>30</v>
      </c>
      <c r="AM22">
        <v>39</v>
      </c>
      <c r="AN22">
        <v>33</v>
      </c>
      <c r="AO22">
        <v>29</v>
      </c>
      <c r="AQ22">
        <v>9</v>
      </c>
    </row>
    <row r="23" spans="1:63" x14ac:dyDescent="0.25">
      <c r="B23" t="s">
        <v>31</v>
      </c>
      <c r="C23" t="e">
        <f>VLOOKUP(C21,Model52393103[],3,FALSE)</f>
        <v>#N/A</v>
      </c>
      <c r="D23" t="s">
        <v>132</v>
      </c>
      <c r="I23">
        <v>10</v>
      </c>
      <c r="J23">
        <v>40</v>
      </c>
      <c r="K23">
        <v>33</v>
      </c>
      <c r="L23">
        <v>28</v>
      </c>
      <c r="M23">
        <v>40</v>
      </c>
      <c r="N23">
        <v>32</v>
      </c>
      <c r="O23">
        <v>27</v>
      </c>
      <c r="P23">
        <v>38</v>
      </c>
      <c r="Q23">
        <v>32</v>
      </c>
      <c r="R23">
        <v>27</v>
      </c>
      <c r="S23">
        <v>37</v>
      </c>
      <c r="T23">
        <v>31</v>
      </c>
      <c r="U23">
        <v>27</v>
      </c>
      <c r="V23">
        <v>36</v>
      </c>
      <c r="W23">
        <v>30</v>
      </c>
      <c r="X23">
        <v>26</v>
      </c>
      <c r="Z23">
        <v>10</v>
      </c>
      <c r="AA23">
        <v>41</v>
      </c>
      <c r="AB23">
        <v>33</v>
      </c>
      <c r="AC23">
        <v>28</v>
      </c>
      <c r="AD23">
        <v>40</v>
      </c>
      <c r="AE23">
        <v>33</v>
      </c>
      <c r="AF23">
        <v>28</v>
      </c>
      <c r="AG23">
        <v>39</v>
      </c>
      <c r="AH23">
        <v>32</v>
      </c>
      <c r="AI23">
        <v>27</v>
      </c>
      <c r="AJ23">
        <v>37</v>
      </c>
      <c r="AK23">
        <v>31</v>
      </c>
      <c r="AL23">
        <v>27</v>
      </c>
      <c r="AM23">
        <v>36</v>
      </c>
      <c r="AN23">
        <v>31</v>
      </c>
      <c r="AO23">
        <v>27</v>
      </c>
      <c r="AQ23">
        <v>10</v>
      </c>
    </row>
    <row r="24" spans="1:63" x14ac:dyDescent="0.25">
      <c r="B24" t="s">
        <v>3</v>
      </c>
      <c r="C24" s="11" t="e">
        <f t="array" ref="C24">INDEX(CUtable42292102[],MATCH(1,(CUtable42292102[RC]=C17)*(CUtable42292102[RW]=C18)*(CUtable42292102[Size]=E21),0),4)</f>
        <v>#DIV/0!</v>
      </c>
      <c r="H24" s="5"/>
    </row>
    <row r="25" spans="1:63" x14ac:dyDescent="0.25">
      <c r="B25" t="s">
        <v>133</v>
      </c>
      <c r="C25" s="11">
        <f>VLOOKUP(E21,Table812172797107[],2,FALSE)</f>
        <v>1.2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VLOOKUP(E21,Table812172797107[],3,FALSE)</f>
        <v>1.2</v>
      </c>
      <c r="H26" s="5"/>
      <c r="I26" t="s">
        <v>218</v>
      </c>
      <c r="J26">
        <f>INDEX(LINEST(TablePBL91101[CU],TablePBL91101[RCR]^{1,2,3}),1)</f>
        <v>-4.3123543123543259E-2</v>
      </c>
      <c r="K26">
        <f>INDEX(LINEST(TablePBL91101[CU1],TablePBL91101[RCR]^{1,2,3}),1)</f>
        <v>-6.9153069153069485E-2</v>
      </c>
      <c r="L26">
        <f>INDEX(LINEST(TablePBL91101[CU2],TablePBL91101[RCR]^{1,2,3}),1)</f>
        <v>-0.10198135198135268</v>
      </c>
      <c r="M26">
        <f>INDEX(LINEST(TablePBL91101[CU3],TablePBL91101[RCR]^{1,2,3}),1)</f>
        <v>-3.3605283605283927E-2</v>
      </c>
      <c r="N26">
        <f>INDEX(LINEST(TablePBL91101[CU4],TablePBL91101[RCR]^{1,2,3}),1)</f>
        <v>-6.7016317016317314E-2</v>
      </c>
      <c r="O26">
        <f>INDEX(LINEST(TablePBL91101[CU5],TablePBL91101[RCR]^{1,2,3}),1)</f>
        <v>-8.9549339549339704E-2</v>
      </c>
      <c r="P26">
        <f>INDEX(LINEST(TablePBL91101[CU6],TablePBL91101[RCR]^{1,2,3}),1)</f>
        <v>-3.8267288267288396E-2</v>
      </c>
      <c r="Q26">
        <f>INDEX(LINEST(TablePBL91101[CU7],TablePBL91101[RCR]^{1,2,3}),1)</f>
        <v>-5.6721056721056852E-2</v>
      </c>
      <c r="R26">
        <f>INDEX(LINEST(TablePBL91101[CU8],TablePBL91101[RCR]^{1,2,3}),1)</f>
        <v>-7.6534576534576848E-2</v>
      </c>
      <c r="S26">
        <f>INDEX(LINEST(TablePBL91101[CU9],TablePBL91101[RCR]^{1,2,3}),1)</f>
        <v>-3.3993783993784235E-2</v>
      </c>
      <c r="T26">
        <f>INDEX(LINEST(TablePBL91101[CU10],TablePBL91101[RCR]^{1,2,3}),1)</f>
        <v>-4.9728049728050117E-2</v>
      </c>
      <c r="U26">
        <f>INDEX(LINEST(TablePBL91101[CU11],TablePBL91101[RCR]^{1,2,3}),1)</f>
        <v>-6.0800310800311279E-2</v>
      </c>
      <c r="V26">
        <f>INDEX(LINEST(TablePBL91101[CU12],TablePBL91101[RCR]^{1,2,3}),1)</f>
        <v>-3.5353535353535616E-2</v>
      </c>
      <c r="W26">
        <f>INDEX(LINEST(TablePBL91101[CU13],TablePBL91101[RCR]^{1,2,3}),1)</f>
        <v>-4.5648795648795877E-2</v>
      </c>
      <c r="X26">
        <f>INDEX(LINEST(TablePBL91101[CU14],TablePBL91101[RCR]^{1,2,3}),1)</f>
        <v>-5.6721056721056831E-2</v>
      </c>
      <c r="Z26" t="s">
        <v>218</v>
      </c>
      <c r="AA26">
        <f>INDEX(LINEST(TablePBLFR98108[CU],TablePBLFR98108[RCR]^{1,2,3}),1)</f>
        <v>-4.0015540015540516E-2</v>
      </c>
      <c r="AB26">
        <f>INDEX(LINEST(TablePBLFR98108[CU1],TablePBLFR98108[RCR]^{1,2,3}),1)</f>
        <v>-7.0707070707071037E-2</v>
      </c>
      <c r="AC26">
        <f>INDEX(LINEST(TablePBLFR98108[CU2],TablePBLFR98108[RCR]^{1,2,3}),1)</f>
        <v>-0.10139860139860177</v>
      </c>
      <c r="AD26">
        <f>INDEX(LINEST(TablePBLFR98108[CU3],TablePBLFR98108[RCR]^{1,2,3}),1)</f>
        <v>-3.3605283605283927E-2</v>
      </c>
      <c r="AE26">
        <f>INDEX(LINEST(TablePBLFR98108[CU4],TablePBLFR98108[RCR]^{1,2,3}),1)</f>
        <v>-5.5167055167055508E-2</v>
      </c>
      <c r="AF26">
        <f>INDEX(LINEST(TablePBLFR98108[CU5],TablePBLFR98108[RCR]^{1,2,3}),1)</f>
        <v>-8.9160839160839445E-2</v>
      </c>
      <c r="AG26">
        <f>INDEX(LINEST(TablePBLFR98108[CU6],TablePBLFR98108[RCR]^{1,2,3}),1)</f>
        <v>-2.9331779331779585E-2</v>
      </c>
      <c r="AH26">
        <f>INDEX(LINEST(TablePBLFR98108[CU7],TablePBLFR98108[RCR]^{1,2,3}),1)</f>
        <v>-4.9728049728050089E-2</v>
      </c>
      <c r="AI26">
        <f>INDEX(LINEST(TablePBLFR98108[CU8],TablePBLFR98108[RCR]^{1,2,3}),1)</f>
        <v>-7.9254079254079637E-2</v>
      </c>
      <c r="AJ26">
        <f>INDEX(LINEST(TablePBLFR98108[CU9],TablePBLFR98108[RCR]^{1,2,3}),1)</f>
        <v>-3.3993783993784117E-2</v>
      </c>
      <c r="AK26">
        <f>INDEX(LINEST(TablePBLFR98108[CU10],TablePBLFR98108[RCR]^{1,2,3}),1)</f>
        <v>-4.4094794094794235E-2</v>
      </c>
      <c r="AL26">
        <f>INDEX(LINEST(TablePBLFR98108[CU11],TablePBLFR98108[RCR]^{1,2,3}),1)</f>
        <v>-6.196581196581237E-2</v>
      </c>
      <c r="AM26">
        <f>INDEX(LINEST(TablePBLFR98108[CU12],TablePBLFR98108[RCR]^{1,2,3}),1)</f>
        <v>-2.719502719502747E-2</v>
      </c>
      <c r="AN26">
        <f>INDEX(LINEST(TablePBLFR98108[CU13],TablePBLFR98108[RCR]^{1,2,3}),1)</f>
        <v>-3.5936285936286248E-2</v>
      </c>
      <c r="AO26">
        <f>INDEX(LINEST(TablePBLFR98108[CU14],TablePBLFR98108[RCR]^{1,2,3}),1)</f>
        <v>-5.2641802641802869E-2</v>
      </c>
      <c r="AQ26" t="s">
        <v>218</v>
      </c>
      <c r="AR26" t="e">
        <f>INDEX(LINEST(Table1x430100110[CU],Table1x430100110[RCR]^{1,2,3}),1)</f>
        <v>#VALUE!</v>
      </c>
      <c r="AS26" t="e">
        <f>INDEX(LINEST(Table1x430100110[CU1],Table1x430100110[RCR]^{1,2,3}),1)</f>
        <v>#VALUE!</v>
      </c>
      <c r="AT26" t="e">
        <f>INDEX(LINEST(Table1x430100110[CU2],Table1x430100110[RCR]^{1,2,3}),1)</f>
        <v>#VALUE!</v>
      </c>
      <c r="AU26" t="e">
        <f>INDEX(LINEST(Table1x430100110[CU3],Table1x430100110[RCR]^{1,2,3}),1)</f>
        <v>#VALUE!</v>
      </c>
      <c r="AV26" t="e">
        <f>INDEX(LINEST(Table1x430100110[CU4],Table1x430100110[RCR]^{1,2,3}),1)</f>
        <v>#VALUE!</v>
      </c>
      <c r="AW26" t="e">
        <f>INDEX(LINEST(Table1x430100110[CU5],Table1x430100110[RCR]^{1,2,3}),1)</f>
        <v>#VALUE!</v>
      </c>
      <c r="AX26" t="e">
        <f>INDEX(LINEST(Table1x430100110[CU6],Table1x430100110[RCR]^{1,2,3}),1)</f>
        <v>#VALUE!</v>
      </c>
      <c r="AY26" t="e">
        <f>INDEX(LINEST(Table1x430100110[CU7],Table1x430100110[RCR]^{1,2,3}),1)</f>
        <v>#VALUE!</v>
      </c>
      <c r="AZ26" t="e">
        <f>INDEX(LINEST(Table1x430100110[CU8],Table1x430100110[RCR]^{1,2,3}),1)</f>
        <v>#VALUE!</v>
      </c>
      <c r="BA26" t="e">
        <f>INDEX(LINEST(Table1x430100110[CU9],Table1x430100110[RCR]^{1,2,3}),1)</f>
        <v>#VALUE!</v>
      </c>
      <c r="BB26" t="e">
        <f>INDEX(LINEST(Table1x430100110[CU10],Table1x430100110[RCR]^{1,2,3}),1)</f>
        <v>#VALUE!</v>
      </c>
      <c r="BC26" t="e">
        <f>INDEX(LINEST(Table1x430100110[CU11],Table1x430100110[RCR]^{1,2,3}),1)</f>
        <v>#VALUE!</v>
      </c>
      <c r="BD26" t="e">
        <f>INDEX(LINEST(Table1x430100110[CU12],Table1x430100110[RCR]^{1,2,3}),1)</f>
        <v>#VALUE!</v>
      </c>
      <c r="BE26" t="e">
        <f>INDEX(LINEST(Table1x430100110[CU13],Table1x430100110[RCR]^{1,2,3}),1)</f>
        <v>#VALUE!</v>
      </c>
      <c r="BF26" t="e">
        <f>INDEX(LINEST(Table1x430100110[CU14],Table1x430100110[RCR]^{1,2,3}),1)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INDEX(LINEST(TablePBL91101[CU],TablePBL91101[RCR]^{1,2,3}),1,2)</f>
        <v>1.2645687645687658</v>
      </c>
      <c r="K27">
        <f>INDEX(LINEST(TablePBL91101[CU1],TablePBL91101[RCR]^{1,2,3}),1,2)</f>
        <v>1.8613053613053663</v>
      </c>
      <c r="L27">
        <f>INDEX(LINEST(TablePBL91101[CU2],TablePBL91101[RCR]^{1,2,3}),1,2)</f>
        <v>2.5180652680652775</v>
      </c>
      <c r="M27">
        <f>INDEX(LINEST(TablePBL91101[CU3],TablePBL91101[RCR]^{1,2,3}),1,2)</f>
        <v>1.1031468531468571</v>
      </c>
      <c r="N27">
        <f>INDEX(LINEST(TablePBL91101[CU4],TablePBL91101[RCR]^{1,2,3}),1,2)</f>
        <v>1.7698135198135245</v>
      </c>
      <c r="O27">
        <f>INDEX(LINEST(TablePBL91101[CU5],TablePBL91101[RCR]^{1,2,3}),1,2)</f>
        <v>2.256993006993008</v>
      </c>
      <c r="P27">
        <f>INDEX(LINEST(TablePBL91101[CU6],TablePBL91101[RCR]^{1,2,3}),1,2)</f>
        <v>1.1217948717948727</v>
      </c>
      <c r="Q27">
        <f>INDEX(LINEST(TablePBL91101[CU7],TablePBL91101[RCR]^{1,2,3}),1,2)</f>
        <v>1.5641025641025652</v>
      </c>
      <c r="R27">
        <f>INDEX(LINEST(TablePBL91101[CU8],TablePBL91101[RCR]^{1,2,3}),1,2)</f>
        <v>1.9720279720279767</v>
      </c>
      <c r="S27">
        <f>INDEX(LINEST(TablePBL91101[CU9],TablePBL91101[RCR]^{1,2,3}),1,2)</f>
        <v>1.018065268065272</v>
      </c>
      <c r="T27">
        <f>INDEX(LINEST(TablePBL91101[CU10],TablePBL91101[RCR]^{1,2,3}),1,2)</f>
        <v>1.3811188811188866</v>
      </c>
      <c r="U27">
        <f>INDEX(LINEST(TablePBL91101[CU11],TablePBL91101[RCR]^{1,2,3}),1,2)</f>
        <v>1.6649184149184217</v>
      </c>
      <c r="V27">
        <f>INDEX(LINEST(TablePBL91101[CU12],TablePBL91101[RCR]^{1,2,3}),1,2)</f>
        <v>1.0198135198135234</v>
      </c>
      <c r="W27">
        <f>INDEX(LINEST(TablePBL91101[CU13],TablePBL91101[RCR]^{1,2,3}),1,2)</f>
        <v>1.2604895104895137</v>
      </c>
      <c r="X27">
        <f>INDEX(LINEST(TablePBL91101[CU14],TablePBL91101[RCR]^{1,2,3}),1,2)</f>
        <v>1.5233100233100239</v>
      </c>
      <c r="Z27" t="s">
        <v>219</v>
      </c>
      <c r="AA27">
        <f>INDEX(LINEST(TablePBLFR98108[CU],TablePBLFR98108[RCR]^{1,2,3}),1,2)</f>
        <v>1.2249417249417325</v>
      </c>
      <c r="AB27">
        <f>INDEX(LINEST(TablePBLFR98108[CU1],TablePBLFR98108[RCR]^{1,2,3}),1,2)</f>
        <v>1.8729603729603772</v>
      </c>
      <c r="AC27">
        <f>INDEX(LINEST(TablePBLFR98108[CU2],TablePBLFR98108[RCR]^{1,2,3}),1,2)</f>
        <v>2.4871794871794921</v>
      </c>
      <c r="AD27">
        <f>INDEX(LINEST(TablePBLFR98108[CU3],TablePBLFR98108[RCR]^{1,2,3}),1,2)</f>
        <v>1.1031468531468571</v>
      </c>
      <c r="AE27">
        <f>INDEX(LINEST(TablePBLFR98108[CU4],TablePBLFR98108[RCR]^{1,2,3}),1,2)</f>
        <v>1.5990675990676038</v>
      </c>
      <c r="AF27">
        <f>INDEX(LINEST(TablePBLFR98108[CU5],TablePBLFR98108[RCR]^{1,2,3}),1,2)</f>
        <v>2.2604895104895144</v>
      </c>
      <c r="AG27">
        <f>INDEX(LINEST(TablePBLFR98108[CU6],TablePBLFR98108[RCR]^{1,2,3}),1,2)</f>
        <v>0.99941724941725285</v>
      </c>
      <c r="AH27">
        <f>INDEX(LINEST(TablePBLFR98108[CU7],TablePBLFR98108[RCR]^{1,2,3}),1,2)</f>
        <v>1.4358974358974412</v>
      </c>
      <c r="AI27">
        <f>INDEX(LINEST(TablePBLFR98108[CU8],TablePBLFR98108[RCR]^{1,2,3}),1,2)</f>
        <v>2.0023310023310077</v>
      </c>
      <c r="AJ27">
        <f>INDEX(LINEST(TablePBLFR98108[CU9],TablePBLFR98108[RCR]^{1,2,3}),1,2)</f>
        <v>1.001748251748253</v>
      </c>
      <c r="AK27">
        <f>INDEX(LINEST(TablePBLFR98108[CU10],TablePBLFR98108[RCR]^{1,2,3}),1,2)</f>
        <v>1.2756410256410271</v>
      </c>
      <c r="AL27">
        <f>INDEX(LINEST(TablePBLFR98108[CU11],TablePBLFR98108[RCR]^{1,2,3}),1,2)</f>
        <v>1.6660839160839223</v>
      </c>
      <c r="AM27">
        <f>INDEX(LINEST(TablePBLFR98108[CU12],TablePBLFR98108[RCR]^{1,2,3}),1,2)</f>
        <v>0.86713286713287108</v>
      </c>
      <c r="AN27">
        <f>INDEX(LINEST(TablePBLFR98108[CU13],TablePBLFR98108[RCR]^{1,2,3}),1,2)</f>
        <v>1.1171328671328713</v>
      </c>
      <c r="AO27">
        <f>INDEX(LINEST(TablePBLFR98108[CU14],TablePBLFR98108[RCR]^{1,2,3}),1,2)</f>
        <v>1.4621212121212153</v>
      </c>
      <c r="AQ27" t="s">
        <v>219</v>
      </c>
      <c r="AR27" t="e">
        <f>INDEX(LINEST(Table1x430100110[CU],Table1x430100110[RCR]^{1,2,3}),1,2)</f>
        <v>#VALUE!</v>
      </c>
      <c r="AS27" t="e">
        <f>INDEX(LINEST(Table1x430100110[CU1],Table1x430100110[RCR]^{1,2,3}),1,2)</f>
        <v>#VALUE!</v>
      </c>
      <c r="AT27" t="e">
        <f>INDEX(LINEST(Table1x430100110[CU2],Table1x430100110[RCR]^{1,2,3}),1,2)</f>
        <v>#VALUE!</v>
      </c>
      <c r="AU27" t="e">
        <f>INDEX(LINEST(Table1x430100110[CU3],Table1x430100110[RCR]^{1,2,3}),1,2)</f>
        <v>#VALUE!</v>
      </c>
      <c r="AV27" t="e">
        <f>INDEX(LINEST(Table1x430100110[CU4],Table1x430100110[RCR]^{1,2,3}),1,2)</f>
        <v>#VALUE!</v>
      </c>
      <c r="AW27" t="e">
        <f>INDEX(LINEST(Table1x430100110[CU5],Table1x430100110[RCR]^{1,2,3}),1,2)</f>
        <v>#VALUE!</v>
      </c>
      <c r="AX27" t="e">
        <f>INDEX(LINEST(Table1x430100110[CU6],Table1x430100110[RCR]^{1,2,3}),1,2)</f>
        <v>#VALUE!</v>
      </c>
      <c r="AY27" t="e">
        <f>INDEX(LINEST(Table1x430100110[CU7],Table1x430100110[RCR]^{1,2,3}),1,2)</f>
        <v>#VALUE!</v>
      </c>
      <c r="AZ27" t="e">
        <f>INDEX(LINEST(Table1x430100110[CU8],Table1x430100110[RCR]^{1,2,3}),1,2)</f>
        <v>#VALUE!</v>
      </c>
      <c r="BA27" t="e">
        <f>INDEX(LINEST(Table1x430100110[CU9],Table1x430100110[RCR]^{1,2,3}),1,2)</f>
        <v>#VALUE!</v>
      </c>
      <c r="BB27" t="e">
        <f>INDEX(LINEST(Table1x430100110[CU10],Table1x430100110[RCR]^{1,2,3}),1,2)</f>
        <v>#VALUE!</v>
      </c>
      <c r="BC27" t="e">
        <f>INDEX(LINEST(Table1x430100110[CU11],Table1x430100110[RCR]^{1,2,3}),1,2)</f>
        <v>#VALUE!</v>
      </c>
      <c r="BD27" t="e">
        <f>INDEX(LINEST(Table1x430100110[CU12],Table1x430100110[RCR]^{1,2,3}),1,2)</f>
        <v>#VALUE!</v>
      </c>
      <c r="BE27" t="e">
        <f>INDEX(LINEST(Table1x430100110[CU13],Table1x430100110[RCR]^{1,2,3}),1,2)</f>
        <v>#VALUE!</v>
      </c>
      <c r="BF27" t="e">
        <f>INDEX(LINEST(Table1x430100110[CU14],Table1x430100110[RCR]^{1,2,3}),1,2)</f>
        <v>#VALUE!</v>
      </c>
    </row>
    <row r="28" spans="1:63" x14ac:dyDescent="0.25">
      <c r="C28" s="1"/>
      <c r="H28" s="5"/>
      <c r="I28" t="s">
        <v>220</v>
      </c>
      <c r="J28">
        <f t="array" ref="J28">INDEX(LINEST(TablePBL91101[CU],TablePBL91101[RCR]^{1,2,3}),1,3)</f>
        <v>-16.116550116550112</v>
      </c>
      <c r="K28">
        <f>INDEX(LINEST(TablePBL91101[CU1],TablePBL91101[RCR]^{1,2,3}),1,3)</f>
        <v>-20.204739704739723</v>
      </c>
      <c r="L28">
        <f>INDEX(LINEST(TablePBL91101[CU2],TablePBL91101[RCR]^{1,2,3}),1,3)</f>
        <v>-23.989510489510518</v>
      </c>
      <c r="M28">
        <f>INDEX(LINEST(TablePBL91101[CU3],TablePBL91101[RCR]^{1,2,3}),1,3)</f>
        <v>-15.076534576534584</v>
      </c>
      <c r="N28">
        <f>INDEX(LINEST(TablePBL91101[CU4],TablePBL91101[RCR]^{1,2,3}),1,3)</f>
        <v>-19.206293706293724</v>
      </c>
      <c r="O28">
        <f>INDEX(LINEST(TablePBL91101[CU5],TablePBL91101[RCR]^{1,2,3}),1,3)</f>
        <v>-22.314296814296807</v>
      </c>
      <c r="P28">
        <f>INDEX(LINEST(TablePBL91101[CU6],TablePBL91101[RCR]^{1,2,3}),1,3)</f>
        <v>-14.412198912198907</v>
      </c>
      <c r="Q28">
        <f>INDEX(LINEST(TablePBL91101[CU7],TablePBL91101[RCR]^{1,2,3}),1,3)</f>
        <v>-17.577311577311573</v>
      </c>
      <c r="R28">
        <f>INDEX(LINEST(TablePBL91101[CU8],TablePBL91101[RCR]^{1,2,3}),1,3)</f>
        <v>-20.154234654234671</v>
      </c>
      <c r="S28">
        <f>INDEX(LINEST(TablePBL91101[CU9],TablePBL91101[RCR]^{1,2,3}),1,3)</f>
        <v>-13.298756798756813</v>
      </c>
      <c r="T28">
        <f>INDEX(LINEST(TablePBL91101[CU10],TablePBL91101[RCR]^{1,2,3}),1,3)</f>
        <v>-15.93278943278945</v>
      </c>
      <c r="U28">
        <f>INDEX(LINEST(TablePBL91101[CU11],TablePBL91101[RCR]^{1,2,3}),1,3)</f>
        <v>-18.079642579642602</v>
      </c>
      <c r="V28">
        <f>INDEX(LINEST(TablePBL91101[CU12],TablePBL91101[RCR]^{1,2,3}),1,3)</f>
        <v>-12.753690753690762</v>
      </c>
      <c r="W28">
        <f>INDEX(LINEST(TablePBL91101[CU13],TablePBL91101[RCR]^{1,2,3}),1,3)</f>
        <v>-14.732323232323242</v>
      </c>
      <c r="X28">
        <f>INDEX(LINEST(TablePBL91101[CU14],TablePBL91101[RCR]^{1,2,3}),1,3)</f>
        <v>-16.669386169386161</v>
      </c>
      <c r="Z28" t="s">
        <v>220</v>
      </c>
      <c r="AA28">
        <f>INDEX(LINEST(TablePBLFR98108[CU],TablePBLFR98108[RCR]^{1,2,3}),1,3)</f>
        <v>-15.95415695415698</v>
      </c>
      <c r="AB28">
        <f>INDEX(LINEST(TablePBLFR98108[CU1],TablePBLFR98108[RCR]^{1,2,3}),1,3)</f>
        <v>-20.158896658896669</v>
      </c>
      <c r="AC28">
        <f>INDEX(LINEST(TablePBLFR98108[CU2],TablePBLFR98108[RCR]^{1,2,3}),1,3)</f>
        <v>-23.70745920745922</v>
      </c>
      <c r="AD28">
        <f>INDEX(LINEST(TablePBLFR98108[CU3],TablePBLFR98108[RCR]^{1,2,3}),1,3)</f>
        <v>-15.076534576534584</v>
      </c>
      <c r="AE28">
        <f>INDEX(LINEST(TablePBLFR98108[CU4],TablePBLFR98108[RCR]^{1,2,3}),1,3)</f>
        <v>-18.543900543900559</v>
      </c>
      <c r="AF28">
        <f>INDEX(LINEST(TablePBLFR98108[CU5],TablePBLFR98108[RCR]^{1,2,3}),1,3)</f>
        <v>-22.276223776223787</v>
      </c>
      <c r="AG28">
        <f>INDEX(LINEST(TablePBLFR98108[CU6],TablePBLFR98108[RCR]^{1,2,3}),1,3)</f>
        <v>-13.963092463092472</v>
      </c>
      <c r="AH28">
        <f>INDEX(LINEST(TablePBLFR98108[CU7],TablePBLFR98108[RCR]^{1,2,3}),1,3)</f>
        <v>-16.980574980575</v>
      </c>
      <c r="AI28">
        <f>INDEX(LINEST(TablePBLFR98108[CU8],TablePBLFR98108[RCR]^{1,2,3}),1,3)</f>
        <v>-20.195804195804211</v>
      </c>
      <c r="AJ28">
        <f>INDEX(LINEST(TablePBLFR98108[CU9],TablePBLFR98108[RCR]^{1,2,3}),1,3)</f>
        <v>-13.135586635586636</v>
      </c>
      <c r="AK28">
        <f>INDEX(LINEST(TablePBLFR98108[CU10],TablePBLFR98108[RCR]^{1,2,3}),1,3)</f>
        <v>-15.455322455322454</v>
      </c>
      <c r="AL28">
        <f>INDEX(LINEST(TablePBLFR98108[CU11],TablePBLFR98108[RCR]^{1,2,3}),1,3)</f>
        <v>-17.946775446775469</v>
      </c>
      <c r="AM28">
        <f>INDEX(LINEST(TablePBLFR98108[CU12],TablePBLFR98108[RCR]^{1,2,3}),1,3)</f>
        <v>-12.05672105672107</v>
      </c>
      <c r="AN28">
        <f>INDEX(LINEST(TablePBLFR98108[CU13],TablePBLFR98108[RCR]^{1,2,3}),1,3)</f>
        <v>-14.200077700077712</v>
      </c>
      <c r="AO28">
        <f>INDEX(LINEST(TablePBLFR98108[CU14],TablePBLFR98108[RCR]^{1,2,3}),1,3)</f>
        <v>-16.38150738150739</v>
      </c>
      <c r="AQ28" t="s">
        <v>220</v>
      </c>
      <c r="AR28" t="e">
        <f>INDEX(LINEST(Table1x430100110[CU],Table1x430100110[RCR]^{1,2,3}),1,3)</f>
        <v>#VALUE!</v>
      </c>
      <c r="AS28" t="e">
        <f>INDEX(LINEST(Table1x430100110[CU1],Table1x430100110[RCR]^{1,2,3}),1,3)</f>
        <v>#VALUE!</v>
      </c>
      <c r="AT28" t="e">
        <f>INDEX(LINEST(Table1x430100110[CU2],Table1x430100110[RCR]^{1,2,3}),1,3)</f>
        <v>#VALUE!</v>
      </c>
      <c r="AU28" t="e">
        <f>INDEX(LINEST(Table1x430100110[CU3],Table1x430100110[RCR]^{1,2,3}),1,3)</f>
        <v>#VALUE!</v>
      </c>
      <c r="AV28" t="e">
        <f>INDEX(LINEST(Table1x430100110[CU4],Table1x430100110[RCR]^{1,2,3}),1,3)</f>
        <v>#VALUE!</v>
      </c>
      <c r="AW28" t="e">
        <f>INDEX(LINEST(Table1x430100110[CU5],Table1x430100110[RCR]^{1,2,3}),1,3)</f>
        <v>#VALUE!</v>
      </c>
      <c r="AX28" t="e">
        <f>INDEX(LINEST(Table1x430100110[CU6],Table1x430100110[RCR]^{1,2,3}),1,3)</f>
        <v>#VALUE!</v>
      </c>
      <c r="AY28" t="e">
        <f>INDEX(LINEST(Table1x430100110[CU7],Table1x430100110[RCR]^{1,2,3}),1,3)</f>
        <v>#VALUE!</v>
      </c>
      <c r="AZ28" t="e">
        <f>INDEX(LINEST(Table1x430100110[CU8],Table1x430100110[RCR]^{1,2,3}),1,3)</f>
        <v>#VALUE!</v>
      </c>
      <c r="BA28" t="e">
        <f>INDEX(LINEST(Table1x430100110[CU9],Table1x430100110[RCR]^{1,2,3}),1,3)</f>
        <v>#VALUE!</v>
      </c>
      <c r="BB28" t="e">
        <f>INDEX(LINEST(Table1x430100110[CU10],Table1x430100110[RCR]^{1,2,3}),1,3)</f>
        <v>#VALUE!</v>
      </c>
      <c r="BC28" t="e">
        <f>INDEX(LINEST(Table1x430100110[CU11],Table1x430100110[RCR]^{1,2,3}),1,3)</f>
        <v>#VALUE!</v>
      </c>
      <c r="BD28" t="e">
        <f>INDEX(LINEST(Table1x430100110[CU12],Table1x430100110[RCR]^{1,2,3}),1,3)</f>
        <v>#VALUE!</v>
      </c>
      <c r="BE28" t="e">
        <f>INDEX(LINEST(Table1x430100110[CU13],Table1x430100110[RCR]^{1,2,3}),1,3)</f>
        <v>#VALUE!</v>
      </c>
      <c r="BF28" t="e">
        <f>INDEX(LINEST(Table1x430100110[CU14],Table1x430100110[RCR]^{1,2,3}),1,3)</f>
        <v>#VALUE!</v>
      </c>
    </row>
    <row r="29" spans="1:63" x14ac:dyDescent="0.25">
      <c r="C29" s="3"/>
      <c r="H29" s="5"/>
      <c r="I29" t="s">
        <v>221</v>
      </c>
      <c r="J29">
        <f>INDEX(LINEST(TablePBL91101[CU],TablePBL91101[RCR]^{1,2,3}),1,4)</f>
        <v>117.90909090909088</v>
      </c>
      <c r="K29">
        <f>INDEX(LINEST(TablePBL91101[CU1],TablePBL91101[RCR]^{1,2,3}),1,4)</f>
        <v>117.71328671328672</v>
      </c>
      <c r="L29">
        <f>INDEX(LINEST(TablePBL91101[CU2],TablePBL91101[RCR]^{1,2,3}),1,4)</f>
        <v>117.31468531468531</v>
      </c>
      <c r="M29">
        <f>INDEX(LINEST(TablePBL91101[CU3],TablePBL91101[RCR]^{1,2,3}),1,4)</f>
        <v>114.013986013986</v>
      </c>
      <c r="N29">
        <f>INDEX(LINEST(TablePBL91101[CU4],TablePBL91101[RCR]^{1,2,3}),1,4)</f>
        <v>113.79020979020981</v>
      </c>
      <c r="O29">
        <f>INDEX(LINEST(TablePBL91101[CU5],TablePBL91101[RCR]^{1,2,3}),1,4)</f>
        <v>113.56643356643355</v>
      </c>
      <c r="P29">
        <f>INDEX(LINEST(TablePBL91101[CU6],TablePBL91101[RCR]^{1,2,3}),1,4)</f>
        <v>108.04895104895103</v>
      </c>
      <c r="Q29">
        <f>INDEX(LINEST(TablePBL91101[CU7],TablePBL91101[RCR]^{1,2,3}),1,4)</f>
        <v>107.92307692307689</v>
      </c>
      <c r="R29">
        <f>INDEX(LINEST(TablePBL91101[CU8],TablePBL91101[RCR]^{1,2,3}),1,4)</f>
        <v>107.61538461538461</v>
      </c>
      <c r="S29">
        <f>INDEX(LINEST(TablePBL91101[CU9],TablePBL91101[RCR]^{1,2,3}),1,4)</f>
        <v>102.02797202797201</v>
      </c>
      <c r="T29">
        <f>INDEX(LINEST(TablePBL91101[CU10],TablePBL91101[RCR]^{1,2,3}),1,4)</f>
        <v>101.81818181818183</v>
      </c>
      <c r="U29">
        <f>INDEX(LINEST(TablePBL91101[CU11],TablePBL91101[RCR]^{1,2,3}),1,4)</f>
        <v>101.66433566433567</v>
      </c>
      <c r="V29">
        <f>INDEX(LINEST(TablePBL91101[CU12],TablePBL91101[RCR]^{1,2,3}),1,4)</f>
        <v>96.888111888111879</v>
      </c>
      <c r="W29">
        <f>INDEX(LINEST(TablePBL91101[CU13],TablePBL91101[RCR]^{1,2,3}),1,4)</f>
        <v>96.825174825174827</v>
      </c>
      <c r="X29">
        <f>INDEX(LINEST(TablePBL91101[CU14],TablePBL91101[RCR]^{1,2,3}),1,4)</f>
        <v>96.993006993006972</v>
      </c>
      <c r="Z29" t="s">
        <v>221</v>
      </c>
      <c r="AA29">
        <f>INDEX(LINEST(TablePBLFR98108[CU],TablePBLFR98108[RCR]^{1,2,3}),1,4)</f>
        <v>117.81118881118881</v>
      </c>
      <c r="AB29">
        <f>INDEX(LINEST(TablePBLFR98108[CU1],TablePBLFR98108[RCR]^{1,2,3}),1,4)</f>
        <v>117.68531468531467</v>
      </c>
      <c r="AC29">
        <f>INDEX(LINEST(TablePBLFR98108[CU2],TablePBLFR98108[RCR]^{1,2,3}),1,4)</f>
        <v>117.18881118881117</v>
      </c>
      <c r="AD29">
        <f>INDEX(LINEST(TablePBLFR98108[CU3],TablePBLFR98108[RCR]^{1,2,3}),1,4)</f>
        <v>114.013986013986</v>
      </c>
      <c r="AE29">
        <f>INDEX(LINEST(TablePBLFR98108[CU4],TablePBLFR98108[RCR]^{1,2,3}),1,4)</f>
        <v>113.55944055944056</v>
      </c>
      <c r="AF29">
        <f>INDEX(LINEST(TablePBLFR98108[CU5],TablePBLFR98108[RCR]^{1,2,3}),1,4)</f>
        <v>113.60139860139859</v>
      </c>
      <c r="AG29">
        <f>INDEX(LINEST(TablePBLFR98108[CU6],TablePBLFR98108[RCR]^{1,2,3}),1,4)</f>
        <v>107.99300699300699</v>
      </c>
      <c r="AH29">
        <f>INDEX(LINEST(TablePBLFR98108[CU7],TablePBLFR98108[RCR]^{1,2,3}),1,4)</f>
        <v>107.77622377622376</v>
      </c>
      <c r="AI29">
        <f>INDEX(LINEST(TablePBLFR98108[CU8],TablePBLFR98108[RCR]^{1,2,3}),1,4)</f>
        <v>107.60139860139857</v>
      </c>
      <c r="AJ29">
        <f>INDEX(LINEST(TablePBLFR98108[CU9],TablePBLFR98108[RCR]^{1,2,3}),1,4)</f>
        <v>102.14685314685313</v>
      </c>
      <c r="AK29">
        <f>INDEX(LINEST(TablePBLFR98108[CU10],TablePBLFR98108[RCR]^{1,2,3}),1,4)</f>
        <v>101.93706293706293</v>
      </c>
      <c r="AL29">
        <f>INDEX(LINEST(TablePBLFR98108[CU11],TablePBLFR98108[RCR]^{1,2,3}),1,4)</f>
        <v>101.73426573426573</v>
      </c>
      <c r="AM29">
        <f>INDEX(LINEST(TablePBLFR98108[CU12],TablePBLFR98108[RCR]^{1,2,3}),1,4)</f>
        <v>97.048951048951054</v>
      </c>
      <c r="AN29">
        <f>INDEX(LINEST(TablePBLFR98108[CU13],TablePBLFR98108[RCR]^{1,2,3}),1,4)</f>
        <v>96.874125874125866</v>
      </c>
      <c r="AO29">
        <f>INDEX(LINEST(TablePBLFR98108[CU14],TablePBLFR98108[RCR]^{1,2,3}),1,4)</f>
        <v>96.846153846153825</v>
      </c>
      <c r="AQ29" t="s">
        <v>221</v>
      </c>
      <c r="AR29" t="e">
        <f>INDEX(LINEST(Table1x430100110[CU],Table1x430100110[RCR]^{1,2,3}),1,4)</f>
        <v>#VALUE!</v>
      </c>
      <c r="AS29" t="e">
        <f>INDEX(LINEST(Table1x430100110[CU1],Table1x430100110[RCR]^{1,2,3}),1,4)</f>
        <v>#VALUE!</v>
      </c>
      <c r="AT29" t="e">
        <f>INDEX(LINEST(Table1x430100110[CU2],Table1x430100110[RCR]^{1,2,3}),1,4)</f>
        <v>#VALUE!</v>
      </c>
      <c r="AU29" t="e">
        <f>INDEX(LINEST(Table1x430100110[CU3],Table1x430100110[RCR]^{1,2,3}),1,4)</f>
        <v>#VALUE!</v>
      </c>
      <c r="AV29" t="e">
        <f>INDEX(LINEST(Table1x430100110[CU4],Table1x430100110[RCR]^{1,2,3}),1,4)</f>
        <v>#VALUE!</v>
      </c>
      <c r="AW29" t="e">
        <f>INDEX(LINEST(Table1x430100110[CU5],Table1x430100110[RCR]^{1,2,3}),1,4)</f>
        <v>#VALUE!</v>
      </c>
      <c r="AX29" t="e">
        <f>INDEX(LINEST(Table1x430100110[CU6],Table1x430100110[RCR]^{1,2,3}),1,4)</f>
        <v>#VALUE!</v>
      </c>
      <c r="AY29" t="e">
        <f>INDEX(LINEST(Table1x430100110[CU7],Table1x430100110[RCR]^{1,2,3}),1,4)</f>
        <v>#VALUE!</v>
      </c>
      <c r="AZ29" t="e">
        <f>INDEX(LINEST(Table1x430100110[CU8],Table1x430100110[RCR]^{1,2,3}),1,4)</f>
        <v>#VALUE!</v>
      </c>
      <c r="BA29" t="e">
        <f>INDEX(LINEST(Table1x430100110[CU9],Table1x430100110[RCR]^{1,2,3}),1,4)</f>
        <v>#VALUE!</v>
      </c>
      <c r="BB29" t="e">
        <f>INDEX(LINEST(Table1x430100110[CU10],Table1x430100110[RCR]^{1,2,3}),1,4)</f>
        <v>#VALUE!</v>
      </c>
      <c r="BC29" t="e">
        <f>INDEX(LINEST(Table1x430100110[CU11],Table1x430100110[RCR]^{1,2,3}),1,4)</f>
        <v>#VALUE!</v>
      </c>
      <c r="BD29" t="e">
        <f>INDEX(LINEST(Table1x430100110[CU12],Table1x430100110[RCR]^{1,2,3}),1,4)</f>
        <v>#VALUE!</v>
      </c>
      <c r="BE29" t="e">
        <f>INDEX(LINEST(Table1x430100110[CU13],Table1x430100110[RCR]^{1,2,3}),1,4)</f>
        <v>#VALUE!</v>
      </c>
      <c r="BF29" t="e">
        <f>INDEX(LINEST(Table1x430100110[CU14],Table1x430100110[RCR]^{1,2,3}),1,4)</f>
        <v>#VALUE!</v>
      </c>
    </row>
    <row r="30" spans="1:63" x14ac:dyDescent="0.25">
      <c r="A30" s="26" t="s">
        <v>126</v>
      </c>
      <c r="B30" s="27"/>
      <c r="C30" s="28"/>
      <c r="D30" s="27"/>
      <c r="E30" s="27"/>
      <c r="F30" s="27"/>
      <c r="G30" s="27"/>
      <c r="H30" s="33"/>
      <c r="I30" s="27" t="s">
        <v>222</v>
      </c>
      <c r="J30" s="34" t="e">
        <f t="shared" ref="J30:X30" si="3">$C$16</f>
        <v>#DIV/0!</v>
      </c>
      <c r="K30" s="27" t="e">
        <f t="shared" si="3"/>
        <v>#DIV/0!</v>
      </c>
      <c r="L30" s="27" t="e">
        <f t="shared" si="3"/>
        <v>#DIV/0!</v>
      </c>
      <c r="M30" s="27" t="e">
        <f t="shared" si="3"/>
        <v>#DIV/0!</v>
      </c>
      <c r="N30" s="27" t="e">
        <f t="shared" si="3"/>
        <v>#DIV/0!</v>
      </c>
      <c r="O30" s="27" t="e">
        <f t="shared" si="3"/>
        <v>#DIV/0!</v>
      </c>
      <c r="P30" s="27" t="e">
        <f t="shared" si="3"/>
        <v>#DIV/0!</v>
      </c>
      <c r="Q30" s="27" t="e">
        <f t="shared" si="3"/>
        <v>#DIV/0!</v>
      </c>
      <c r="R30" s="27" t="e">
        <f t="shared" si="3"/>
        <v>#DIV/0!</v>
      </c>
      <c r="S30" s="27" t="e">
        <f t="shared" si="3"/>
        <v>#DIV/0!</v>
      </c>
      <c r="T30" s="27" t="e">
        <f t="shared" si="3"/>
        <v>#DIV/0!</v>
      </c>
      <c r="U30" s="27" t="e">
        <f t="shared" si="3"/>
        <v>#DIV/0!</v>
      </c>
      <c r="V30" s="27" t="e">
        <f t="shared" si="3"/>
        <v>#DIV/0!</v>
      </c>
      <c r="W30" s="27" t="e">
        <f t="shared" si="3"/>
        <v>#DIV/0!</v>
      </c>
      <c r="X30" s="27" t="e">
        <f t="shared" si="3"/>
        <v>#DIV/0!</v>
      </c>
      <c r="Y30" s="27"/>
      <c r="Z30" s="27" t="s">
        <v>222</v>
      </c>
      <c r="AA30" s="27" t="e">
        <f t="shared" ref="AA30:AO30" si="4">$C$16</f>
        <v>#DIV/0!</v>
      </c>
      <c r="AB30" s="27" t="e">
        <f t="shared" si="4"/>
        <v>#DIV/0!</v>
      </c>
      <c r="AC30" s="27" t="e">
        <f t="shared" si="4"/>
        <v>#DIV/0!</v>
      </c>
      <c r="AD30" s="27" t="e">
        <f t="shared" si="4"/>
        <v>#DIV/0!</v>
      </c>
      <c r="AE30" s="27" t="e">
        <f t="shared" si="4"/>
        <v>#DIV/0!</v>
      </c>
      <c r="AF30" s="27" t="e">
        <f t="shared" si="4"/>
        <v>#DIV/0!</v>
      </c>
      <c r="AG30" s="27" t="e">
        <f t="shared" si="4"/>
        <v>#DIV/0!</v>
      </c>
      <c r="AH30" s="27" t="e">
        <f t="shared" si="4"/>
        <v>#DIV/0!</v>
      </c>
      <c r="AI30" s="27" t="e">
        <f t="shared" si="4"/>
        <v>#DIV/0!</v>
      </c>
      <c r="AJ30" s="27" t="e">
        <f t="shared" si="4"/>
        <v>#DIV/0!</v>
      </c>
      <c r="AK30" s="27" t="e">
        <f t="shared" si="4"/>
        <v>#DIV/0!</v>
      </c>
      <c r="AL30" s="27" t="e">
        <f t="shared" si="4"/>
        <v>#DIV/0!</v>
      </c>
      <c r="AM30" s="27" t="e">
        <f t="shared" si="4"/>
        <v>#DIV/0!</v>
      </c>
      <c r="AN30" s="27" t="e">
        <f t="shared" si="4"/>
        <v>#DIV/0!</v>
      </c>
      <c r="AO30" s="27" t="e">
        <f t="shared" si="4"/>
        <v>#DIV/0!</v>
      </c>
      <c r="AP30" s="27"/>
      <c r="AQ30" s="27" t="s">
        <v>222</v>
      </c>
      <c r="AR30" s="27" t="e">
        <f t="shared" ref="AR30:BF30" si="5">$C$16</f>
        <v>#DIV/0!</v>
      </c>
      <c r="AS30" s="27" t="e">
        <f t="shared" si="5"/>
        <v>#DIV/0!</v>
      </c>
      <c r="AT30" s="27" t="e">
        <f t="shared" si="5"/>
        <v>#DIV/0!</v>
      </c>
      <c r="AU30" s="27" t="e">
        <f t="shared" si="5"/>
        <v>#DIV/0!</v>
      </c>
      <c r="AV30" s="27" t="e">
        <f t="shared" si="5"/>
        <v>#DIV/0!</v>
      </c>
      <c r="AW30" s="27" t="e">
        <f t="shared" si="5"/>
        <v>#DIV/0!</v>
      </c>
      <c r="AX30" s="27" t="e">
        <f t="shared" si="5"/>
        <v>#DIV/0!</v>
      </c>
      <c r="AY30" s="27" t="e">
        <f t="shared" si="5"/>
        <v>#DIV/0!</v>
      </c>
      <c r="AZ30" s="27" t="e">
        <f t="shared" si="5"/>
        <v>#DIV/0!</v>
      </c>
      <c r="BA30" s="27" t="e">
        <f t="shared" si="5"/>
        <v>#DIV/0!</v>
      </c>
      <c r="BB30" s="27" t="e">
        <f t="shared" si="5"/>
        <v>#DIV/0!</v>
      </c>
      <c r="BC30" s="27" t="e">
        <f t="shared" si="5"/>
        <v>#DIV/0!</v>
      </c>
      <c r="BD30" s="27" t="e">
        <f t="shared" si="5"/>
        <v>#DIV/0!</v>
      </c>
      <c r="BE30" s="27" t="e">
        <f t="shared" si="5"/>
        <v>#DIV/0!</v>
      </c>
      <c r="BF30" s="27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4</v>
      </c>
      <c r="L34" t="e">
        <f>K25</f>
        <v>#DIV/0!</v>
      </c>
    </row>
    <row r="35" spans="1:63" x14ac:dyDescent="0.25">
      <c r="C35" s="14"/>
      <c r="H35" t="s">
        <v>17</v>
      </c>
      <c r="I35">
        <v>80</v>
      </c>
      <c r="J35">
        <v>10</v>
      </c>
      <c r="K35">
        <v>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E37" s="27"/>
      <c r="F37" s="27"/>
      <c r="G37" s="27"/>
      <c r="H37" s="27" t="s">
        <v>19</v>
      </c>
      <c r="I37" s="27">
        <v>70</v>
      </c>
      <c r="J37" s="27">
        <v>30</v>
      </c>
      <c r="K37" s="27">
        <v>4</v>
      </c>
      <c r="L37" s="27" t="e">
        <f>N25</f>
        <v>#DIV/0!</v>
      </c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21">
        <f>IF(C43=90,C25,C26)</f>
        <v>1.2</v>
      </c>
      <c r="F44" s="12">
        <f>E44*(C14-C15)</f>
        <v>-3</v>
      </c>
      <c r="H44" t="s">
        <v>25</v>
      </c>
      <c r="I44">
        <v>30</v>
      </c>
      <c r="J44">
        <v>10</v>
      </c>
      <c r="K44">
        <v>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21">
        <f>IF(C43=90,C26,C25)</f>
        <v>1.2</v>
      </c>
      <c r="F45" s="12">
        <f>E45*(C14-C15)</f>
        <v>-3</v>
      </c>
      <c r="H45" t="s">
        <v>27</v>
      </c>
      <c r="I45">
        <v>10</v>
      </c>
      <c r="J45">
        <v>50</v>
      </c>
      <c r="K45">
        <v>4</v>
      </c>
      <c r="L45" t="e">
        <f>V25</f>
        <v>#DIV/0!</v>
      </c>
    </row>
    <row r="46" spans="1:63" x14ac:dyDescent="0.25">
      <c r="B46" t="s">
        <v>1346</v>
      </c>
      <c r="C46" s="1" t="e">
        <f>IF(C39=1,C11/2,C44/2)</f>
        <v>#N/A</v>
      </c>
      <c r="D46" t="s">
        <v>8</v>
      </c>
      <c r="E46" s="11"/>
      <c r="H46" t="s">
        <v>28</v>
      </c>
      <c r="I46">
        <v>10</v>
      </c>
      <c r="J46">
        <v>30</v>
      </c>
      <c r="K46">
        <v>4</v>
      </c>
      <c r="L46" t="e">
        <f>W25</f>
        <v>#DIV/0!</v>
      </c>
    </row>
    <row r="47" spans="1:63" x14ac:dyDescent="0.25">
      <c r="B47" t="s">
        <v>1347</v>
      </c>
      <c r="C47" s="1" t="e">
        <f>IF(C40=1,C12/2,C45/2)</f>
        <v>#N/A</v>
      </c>
      <c r="D47" t="s">
        <v>8</v>
      </c>
      <c r="E47" s="11"/>
      <c r="H47" t="s">
        <v>29</v>
      </c>
      <c r="I47">
        <v>10</v>
      </c>
      <c r="J47">
        <v>10</v>
      </c>
      <c r="K47">
        <v>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</v>
      </c>
      <c r="L49" t="e">
        <f>AB25</f>
        <v>#DIV/0!</v>
      </c>
    </row>
    <row r="50" spans="1:12" x14ac:dyDescent="0.25">
      <c r="H50" t="s">
        <v>17</v>
      </c>
      <c r="I50">
        <v>80</v>
      </c>
      <c r="J50">
        <v>10</v>
      </c>
      <c r="K50">
        <v>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</v>
      </c>
      <c r="L51" t="e">
        <f>AD25</f>
        <v>#DIV/0!</v>
      </c>
    </row>
    <row r="52" spans="1:12" ht="15" customHeight="1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784</v>
      </c>
      <c r="J81">
        <v>7827</v>
      </c>
      <c r="K81">
        <v>60</v>
      </c>
    </row>
    <row r="82" spans="9:22" x14ac:dyDescent="0.25">
      <c r="I82" t="s">
        <v>785</v>
      </c>
      <c r="J82">
        <v>10869</v>
      </c>
      <c r="K82">
        <v>87</v>
      </c>
    </row>
    <row r="83" spans="9:22" x14ac:dyDescent="0.25">
      <c r="I83" t="s">
        <v>786</v>
      </c>
      <c r="J83">
        <v>11693</v>
      </c>
      <c r="K83">
        <v>91</v>
      </c>
    </row>
    <row r="84" spans="9:22" x14ac:dyDescent="0.25">
      <c r="I84" t="s">
        <v>787</v>
      </c>
      <c r="J84">
        <v>15132</v>
      </c>
      <c r="K84">
        <v>123</v>
      </c>
    </row>
    <row r="85" spans="9:22" x14ac:dyDescent="0.25">
      <c r="I85" t="s">
        <v>788</v>
      </c>
      <c r="J85">
        <v>19755</v>
      </c>
      <c r="K85">
        <v>160</v>
      </c>
    </row>
    <row r="86" spans="9:22" x14ac:dyDescent="0.25">
      <c r="I86" t="s">
        <v>789</v>
      </c>
      <c r="J86">
        <v>21738</v>
      </c>
      <c r="K86">
        <v>174</v>
      </c>
    </row>
    <row r="87" spans="9:22" x14ac:dyDescent="0.25">
      <c r="I87" t="s">
        <v>790</v>
      </c>
      <c r="J87">
        <v>8086</v>
      </c>
      <c r="K87">
        <v>60</v>
      </c>
      <c r="N87" t="s">
        <v>11</v>
      </c>
      <c r="O87" t="s">
        <v>12</v>
      </c>
      <c r="P87" t="s">
        <v>15</v>
      </c>
      <c r="R87" t="s">
        <v>143</v>
      </c>
      <c r="S87" t="s">
        <v>135</v>
      </c>
      <c r="T87" t="s">
        <v>136</v>
      </c>
      <c r="V87" t="s">
        <v>138</v>
      </c>
    </row>
    <row r="88" spans="9:22" x14ac:dyDescent="0.25">
      <c r="I88" t="s">
        <v>791</v>
      </c>
      <c r="J88">
        <v>11228</v>
      </c>
      <c r="K88">
        <v>87</v>
      </c>
      <c r="N88">
        <v>80</v>
      </c>
      <c r="O88">
        <v>50</v>
      </c>
      <c r="P88">
        <v>20</v>
      </c>
      <c r="R88">
        <v>2</v>
      </c>
      <c r="S88">
        <v>1.2</v>
      </c>
      <c r="T88">
        <v>1.2</v>
      </c>
      <c r="V88">
        <v>0</v>
      </c>
    </row>
    <row r="89" spans="9:22" x14ac:dyDescent="0.25">
      <c r="I89" t="s">
        <v>792</v>
      </c>
      <c r="J89">
        <v>12080</v>
      </c>
      <c r="K89">
        <v>91</v>
      </c>
      <c r="N89">
        <v>70</v>
      </c>
      <c r="O89">
        <v>30</v>
      </c>
      <c r="R89">
        <v>4</v>
      </c>
      <c r="S89" s="11">
        <v>1.22</v>
      </c>
      <c r="T89">
        <v>1.22</v>
      </c>
      <c r="V89">
        <v>90</v>
      </c>
    </row>
    <row r="90" spans="9:22" x14ac:dyDescent="0.25">
      <c r="I90" t="s">
        <v>793</v>
      </c>
      <c r="J90">
        <v>15633</v>
      </c>
      <c r="K90">
        <v>123</v>
      </c>
      <c r="N90">
        <v>50</v>
      </c>
      <c r="O90">
        <v>10</v>
      </c>
    </row>
    <row r="91" spans="9:22" x14ac:dyDescent="0.25">
      <c r="I91" t="s">
        <v>794</v>
      </c>
      <c r="J91">
        <v>20408</v>
      </c>
      <c r="K91">
        <v>160</v>
      </c>
      <c r="N91">
        <v>30</v>
      </c>
    </row>
    <row r="92" spans="9:22" x14ac:dyDescent="0.25">
      <c r="I92" t="s">
        <v>795</v>
      </c>
      <c r="J92">
        <v>22456</v>
      </c>
      <c r="K92">
        <v>174</v>
      </c>
      <c r="N92">
        <v>10</v>
      </c>
    </row>
    <row r="93" spans="9:22" x14ac:dyDescent="0.25">
      <c r="I93" t="s">
        <v>796</v>
      </c>
      <c r="J93">
        <v>8328</v>
      </c>
      <c r="K93">
        <v>60</v>
      </c>
    </row>
    <row r="94" spans="9:22" x14ac:dyDescent="0.25">
      <c r="I94" t="s">
        <v>797</v>
      </c>
      <c r="J94">
        <v>11565</v>
      </c>
      <c r="K94">
        <v>87</v>
      </c>
    </row>
    <row r="95" spans="9:22" x14ac:dyDescent="0.25">
      <c r="I95" t="s">
        <v>798</v>
      </c>
      <c r="J95">
        <v>12442</v>
      </c>
      <c r="K95">
        <v>91</v>
      </c>
    </row>
    <row r="96" spans="9:22" x14ac:dyDescent="0.25">
      <c r="I96" t="s">
        <v>799</v>
      </c>
      <c r="J96">
        <v>16101</v>
      </c>
      <c r="K96">
        <v>123</v>
      </c>
    </row>
    <row r="97" spans="9:11" x14ac:dyDescent="0.25">
      <c r="I97" t="s">
        <v>800</v>
      </c>
      <c r="J97">
        <v>21020</v>
      </c>
      <c r="K97">
        <v>160</v>
      </c>
    </row>
    <row r="98" spans="9:11" x14ac:dyDescent="0.25">
      <c r="I98" t="s">
        <v>801</v>
      </c>
      <c r="J98">
        <v>23130</v>
      </c>
      <c r="K98">
        <v>174</v>
      </c>
    </row>
  </sheetData>
  <sheetProtection algorithmName="SHA-512" hashValue="h2930Ql0GctJq+QrDAezsFkfthxkdtp00udbLPjTcFEWJFXDQvZfRdjKYO0PqcilQscq/ACAhTb68JAHkqS+mg==" saltValue="PQcVTxItUUj4DlAJI4cc2g==" spinCount="100000" sheet="1" selectLockedCells="1"/>
  <mergeCells count="4">
    <mergeCell ref="BI6:BK6"/>
    <mergeCell ref="BI7:BK7"/>
    <mergeCell ref="BI5:BK5"/>
    <mergeCell ref="A52:D55"/>
  </mergeCells>
  <conditionalFormatting sqref="C44">
    <cfRule type="cellIs" dxfId="224" priority="3" operator="greaterThan">
      <formula>$F$44</formula>
    </cfRule>
  </conditionalFormatting>
  <conditionalFormatting sqref="C45">
    <cfRule type="cellIs" dxfId="223" priority="2" operator="greaterThan">
      <formula>$F$45</formula>
    </cfRule>
  </conditionalFormatting>
  <dataValidations count="4">
    <dataValidation type="list" allowBlank="1" showInputMessage="1" showErrorMessage="1" sqref="C21" xr:uid="{12CE7057-FE81-4E7A-BF5F-72BFF59291CD}">
      <formula1>$I$81:$I$98</formula1>
    </dataValidation>
    <dataValidation type="list" allowBlank="1" showInputMessage="1" showErrorMessage="1" sqref="C17" xr:uid="{4DE96793-5C83-46D3-A781-24015AD05DD2}">
      <formula1>$N$88:$N$92</formula1>
    </dataValidation>
    <dataValidation type="list" allowBlank="1" showInputMessage="1" showErrorMessage="1" sqref="C18" xr:uid="{0AE2EDD8-D19C-43C5-AF06-29B75A08104F}">
      <formula1>$O$88:$O$90</formula1>
    </dataValidation>
    <dataValidation type="list" allowBlank="1" showInputMessage="1" showErrorMessage="1" sqref="C43" xr:uid="{7A9416B5-6C7E-436D-B6C7-D0167E22F678}">
      <formula1>$V$88:$V$89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1DF14-94B4-41D4-A165-B188EEE862D1}">
  <sheetPr>
    <pageSetUpPr fitToPage="1"/>
  </sheetPr>
  <dimension ref="A5:BK101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5.42578125" customWidth="1"/>
    <col min="3" max="3" width="23.1406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406</v>
      </c>
      <c r="BH7" s="5" t="s">
        <v>1345</v>
      </c>
      <c r="BI7" s="37"/>
      <c r="BJ7" s="37"/>
      <c r="BK7" s="37"/>
    </row>
    <row r="9" spans="1:63" x14ac:dyDescent="0.25">
      <c r="I9" s="6" t="s">
        <v>117</v>
      </c>
      <c r="Z9" s="2" t="s">
        <v>114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108</v>
      </c>
      <c r="K14">
        <v>104</v>
      </c>
      <c r="L14">
        <v>101</v>
      </c>
      <c r="M14">
        <v>105</v>
      </c>
      <c r="N14">
        <v>103</v>
      </c>
      <c r="O14">
        <v>100</v>
      </c>
      <c r="P14">
        <v>101</v>
      </c>
      <c r="Q14">
        <v>99</v>
      </c>
      <c r="R14">
        <v>97</v>
      </c>
      <c r="S14">
        <v>97</v>
      </c>
      <c r="T14">
        <v>96</v>
      </c>
      <c r="U14">
        <v>94</v>
      </c>
      <c r="V14">
        <v>94</v>
      </c>
      <c r="W14">
        <v>92</v>
      </c>
      <c r="X14">
        <v>91</v>
      </c>
      <c r="Z14">
        <v>1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97</v>
      </c>
      <c r="K15">
        <v>92</v>
      </c>
      <c r="L15">
        <v>87</v>
      </c>
      <c r="M15">
        <v>95</v>
      </c>
      <c r="N15">
        <v>90</v>
      </c>
      <c r="O15">
        <v>86</v>
      </c>
      <c r="P15">
        <v>92</v>
      </c>
      <c r="Q15">
        <v>88</v>
      </c>
      <c r="R15">
        <v>84</v>
      </c>
      <c r="S15">
        <v>89</v>
      </c>
      <c r="T15">
        <v>85</v>
      </c>
      <c r="U15">
        <v>82</v>
      </c>
      <c r="V15">
        <v>86</v>
      </c>
      <c r="W15">
        <v>83</v>
      </c>
      <c r="X15">
        <v>80</v>
      </c>
      <c r="Z15">
        <v>2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87</v>
      </c>
      <c r="K16">
        <v>81</v>
      </c>
      <c r="L16">
        <v>75</v>
      </c>
      <c r="M16">
        <v>86</v>
      </c>
      <c r="N16">
        <v>80</v>
      </c>
      <c r="O16">
        <v>75</v>
      </c>
      <c r="P16">
        <v>83</v>
      </c>
      <c r="Q16">
        <v>78</v>
      </c>
      <c r="R16">
        <v>74</v>
      </c>
      <c r="S16">
        <v>80</v>
      </c>
      <c r="T16">
        <v>76</v>
      </c>
      <c r="U16">
        <v>72</v>
      </c>
      <c r="V16">
        <v>78</v>
      </c>
      <c r="W16">
        <v>74</v>
      </c>
      <c r="X16">
        <v>71</v>
      </c>
      <c r="Z16">
        <v>3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79</v>
      </c>
      <c r="K17">
        <v>72</v>
      </c>
      <c r="L17">
        <v>66</v>
      </c>
      <c r="M17">
        <v>78</v>
      </c>
      <c r="N17">
        <v>71</v>
      </c>
      <c r="O17">
        <v>66</v>
      </c>
      <c r="P17">
        <v>76</v>
      </c>
      <c r="Q17">
        <v>70</v>
      </c>
      <c r="R17">
        <v>65</v>
      </c>
      <c r="S17">
        <v>73</v>
      </c>
      <c r="T17">
        <v>68</v>
      </c>
      <c r="U17">
        <v>64</v>
      </c>
      <c r="V17">
        <v>71</v>
      </c>
      <c r="W17">
        <v>67</v>
      </c>
      <c r="X17">
        <v>63</v>
      </c>
      <c r="Z17">
        <v>4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72</v>
      </c>
      <c r="K18">
        <v>64</v>
      </c>
      <c r="L18">
        <v>59</v>
      </c>
      <c r="M18">
        <v>71</v>
      </c>
      <c r="N18">
        <v>64</v>
      </c>
      <c r="O18">
        <v>58</v>
      </c>
      <c r="P18">
        <v>69</v>
      </c>
      <c r="Q18">
        <v>63</v>
      </c>
      <c r="R18">
        <v>58</v>
      </c>
      <c r="S18">
        <v>67</v>
      </c>
      <c r="T18">
        <v>62</v>
      </c>
      <c r="U18">
        <v>57</v>
      </c>
      <c r="V18">
        <v>65</v>
      </c>
      <c r="W18">
        <v>61</v>
      </c>
      <c r="X18">
        <v>57</v>
      </c>
      <c r="Z18">
        <v>5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66</v>
      </c>
      <c r="K19">
        <v>58</v>
      </c>
      <c r="L19">
        <v>53</v>
      </c>
      <c r="M19">
        <v>65</v>
      </c>
      <c r="N19">
        <v>58</v>
      </c>
      <c r="O19">
        <v>52</v>
      </c>
      <c r="P19">
        <v>63</v>
      </c>
      <c r="Q19">
        <v>57</v>
      </c>
      <c r="R19">
        <v>52</v>
      </c>
      <c r="S19">
        <v>62</v>
      </c>
      <c r="T19">
        <v>56</v>
      </c>
      <c r="U19">
        <v>52</v>
      </c>
      <c r="V19">
        <v>60</v>
      </c>
      <c r="W19">
        <v>55</v>
      </c>
      <c r="X19">
        <v>51</v>
      </c>
      <c r="Z19">
        <v>6</v>
      </c>
      <c r="AQ19">
        <v>6</v>
      </c>
    </row>
    <row r="20" spans="1:63" x14ac:dyDescent="0.25">
      <c r="I20">
        <v>7</v>
      </c>
      <c r="J20">
        <v>60</v>
      </c>
      <c r="K20">
        <v>53</v>
      </c>
      <c r="L20">
        <v>47</v>
      </c>
      <c r="M20">
        <v>60</v>
      </c>
      <c r="N20">
        <v>52</v>
      </c>
      <c r="O20">
        <v>47</v>
      </c>
      <c r="P20">
        <v>58</v>
      </c>
      <c r="Q20">
        <v>52</v>
      </c>
      <c r="R20">
        <v>47</v>
      </c>
      <c r="S20">
        <v>57</v>
      </c>
      <c r="T20">
        <v>51</v>
      </c>
      <c r="U20">
        <v>47</v>
      </c>
      <c r="V20">
        <v>56</v>
      </c>
      <c r="W20">
        <v>50</v>
      </c>
      <c r="X20">
        <v>46</v>
      </c>
      <c r="Z20">
        <v>7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IF(ISNUMBER(SEARCH("FR",C21)),"Yes","No")</f>
        <v>No</v>
      </c>
      <c r="I21">
        <v>8</v>
      </c>
      <c r="J21">
        <v>56</v>
      </c>
      <c r="K21">
        <v>48</v>
      </c>
      <c r="L21">
        <v>43</v>
      </c>
      <c r="M21">
        <v>55</v>
      </c>
      <c r="N21">
        <v>48</v>
      </c>
      <c r="O21">
        <v>43</v>
      </c>
      <c r="P21">
        <v>54</v>
      </c>
      <c r="Q21">
        <v>47</v>
      </c>
      <c r="R21">
        <v>43</v>
      </c>
      <c r="S21">
        <v>53</v>
      </c>
      <c r="T21">
        <v>47</v>
      </c>
      <c r="U21">
        <v>42</v>
      </c>
      <c r="V21">
        <v>52</v>
      </c>
      <c r="W21">
        <v>46</v>
      </c>
      <c r="X21">
        <v>42</v>
      </c>
      <c r="Z21">
        <v>8</v>
      </c>
      <c r="AQ21">
        <v>8</v>
      </c>
    </row>
    <row r="22" spans="1:63" x14ac:dyDescent="0.25">
      <c r="B22" t="s">
        <v>30</v>
      </c>
      <c r="C22" s="4" t="e">
        <f>VLOOKUP(C21,Model52343[],2,0)</f>
        <v>#N/A</v>
      </c>
      <c r="D22" t="s">
        <v>131</v>
      </c>
      <c r="I22">
        <v>9</v>
      </c>
      <c r="J22">
        <v>52</v>
      </c>
      <c r="K22">
        <v>44</v>
      </c>
      <c r="L22">
        <v>39</v>
      </c>
      <c r="M22">
        <v>51</v>
      </c>
      <c r="N22">
        <v>44</v>
      </c>
      <c r="O22">
        <v>39</v>
      </c>
      <c r="P22">
        <v>50</v>
      </c>
      <c r="Q22">
        <v>44</v>
      </c>
      <c r="R22">
        <v>39</v>
      </c>
      <c r="S22">
        <v>49</v>
      </c>
      <c r="T22">
        <v>43</v>
      </c>
      <c r="U22">
        <v>39</v>
      </c>
      <c r="V22">
        <v>48</v>
      </c>
      <c r="W22">
        <v>43</v>
      </c>
      <c r="X22">
        <v>39</v>
      </c>
      <c r="Z22">
        <v>9</v>
      </c>
      <c r="AQ22">
        <v>9</v>
      </c>
    </row>
    <row r="23" spans="1:63" x14ac:dyDescent="0.25">
      <c r="B23" t="s">
        <v>31</v>
      </c>
      <c r="C23" t="e">
        <f>VLOOKUP(C21,Model52343[],3,FALSE)</f>
        <v>#N/A</v>
      </c>
      <c r="D23" t="s">
        <v>132</v>
      </c>
      <c r="I23">
        <v>10</v>
      </c>
      <c r="J23">
        <v>48</v>
      </c>
      <c r="K23">
        <v>41</v>
      </c>
      <c r="L23">
        <v>36</v>
      </c>
      <c r="M23">
        <v>48</v>
      </c>
      <c r="N23">
        <v>41</v>
      </c>
      <c r="O23">
        <v>36</v>
      </c>
      <c r="P23">
        <v>47</v>
      </c>
      <c r="Q23">
        <v>40</v>
      </c>
      <c r="R23">
        <v>36</v>
      </c>
      <c r="S23">
        <v>46</v>
      </c>
      <c r="T23">
        <v>40</v>
      </c>
      <c r="U23">
        <v>36</v>
      </c>
      <c r="V23">
        <v>45</v>
      </c>
      <c r="W23">
        <v>40</v>
      </c>
      <c r="X23">
        <v>36</v>
      </c>
      <c r="Z23">
        <v>10</v>
      </c>
      <c r="AQ23">
        <v>10</v>
      </c>
    </row>
    <row r="24" spans="1:63" x14ac:dyDescent="0.25">
      <c r="B24" t="s">
        <v>3</v>
      </c>
      <c r="C24" s="11" t="e">
        <f t="array" ref="C24">INDEX(CUtable42242[],MATCH(1,(CUtable42242[RC]=C17)*(CUtable42242[RW]=C18)*(CUtable42242[FR]=E21),0),4)</f>
        <v>#DIV/0!</v>
      </c>
      <c r="H24" s="5"/>
    </row>
    <row r="25" spans="1:63" x14ac:dyDescent="0.25">
      <c r="B25" t="s">
        <v>133</v>
      </c>
      <c r="C25" s="11">
        <f>VLOOKUP(E21,Table812172747[],2,FALSE)</f>
        <v>1.3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#VALUE!</v>
      </c>
      <c r="AB25" t="e">
        <f t="shared" si="1"/>
        <v>#VALUE!</v>
      </c>
      <c r="AC25" t="e">
        <f t="shared" si="1"/>
        <v>#VALUE!</v>
      </c>
      <c r="AD25" t="e">
        <f t="shared" si="1"/>
        <v>#VALUE!</v>
      </c>
      <c r="AE25" t="e">
        <f t="shared" si="1"/>
        <v>#VALUE!</v>
      </c>
      <c r="AF25" t="e">
        <f t="shared" si="1"/>
        <v>#VALUE!</v>
      </c>
      <c r="AG25" t="e">
        <f t="shared" si="1"/>
        <v>#VALUE!</v>
      </c>
      <c r="AH25" t="e">
        <f t="shared" si="1"/>
        <v>#VALUE!</v>
      </c>
      <c r="AI25" t="e">
        <f t="shared" si="1"/>
        <v>#VALUE!</v>
      </c>
      <c r="AJ25" t="e">
        <f t="shared" si="1"/>
        <v>#VALUE!</v>
      </c>
      <c r="AK25" t="e">
        <f t="shared" si="1"/>
        <v>#VALUE!</v>
      </c>
      <c r="AL25" t="e">
        <f t="shared" si="1"/>
        <v>#VALUE!</v>
      </c>
      <c r="AM25" t="e">
        <f t="shared" si="1"/>
        <v>#VALUE!</v>
      </c>
      <c r="AN25" t="e">
        <f t="shared" si="1"/>
        <v>#VALUE!</v>
      </c>
      <c r="AO25" t="e">
        <f t="shared" si="1"/>
        <v>#VALUE!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VLOOKUP(E21,Table812172747[],3,FALSE)</f>
        <v>1.02</v>
      </c>
      <c r="H26" s="5"/>
      <c r="I26" t="s">
        <v>218</v>
      </c>
      <c r="J26">
        <f>INDEX(LINEST(TablePBL41[CU],TablePBL41[RCR]^{1,2,3}),1)</f>
        <v>-1.7288267288267316E-2</v>
      </c>
      <c r="K26">
        <f>INDEX(LINEST(TablePBL41[CU1],TablePBL41[RCR]^{1,2,3}),1)</f>
        <v>-3.341103341103361E-2</v>
      </c>
      <c r="L26">
        <f>INDEX(LINEST(TablePBL41[CU2],TablePBL41[RCR]^{1,2,3}),1)</f>
        <v>-6.2937062937063554E-2</v>
      </c>
      <c r="M26">
        <f>INDEX(LINEST(TablePBL41[CU3],TablePBL41[RCR]^{1,2,3}),1)</f>
        <v>-1.0878010878011228E-2</v>
      </c>
      <c r="N26">
        <f>INDEX(LINEST(TablePBL41[CU4],TablePBL41[RCR]^{1,2,3}),1)</f>
        <v>-2.8360528360528558E-2</v>
      </c>
      <c r="O26">
        <f>INDEX(LINEST(TablePBL41[CU5],TablePBL41[RCR]^{1,2,3}),1)</f>
        <v>-4.8174048174048786E-2</v>
      </c>
      <c r="P26">
        <f>INDEX(LINEST(TablePBL41[CU6],TablePBL41[RCR]^{1,2,3}),1)</f>
        <v>-4.0792540792541935E-3</v>
      </c>
      <c r="Q26">
        <f>INDEX(LINEST(TablePBL41[CU7],TablePBL41[RCR]^{1,2,3}),1)</f>
        <v>-2.2921522921523146E-2</v>
      </c>
      <c r="R26">
        <f>INDEX(LINEST(TablePBL41[CU8],TablePBL41[RCR]^{1,2,3}),1)</f>
        <v>-3.8267288267288382E-2</v>
      </c>
      <c r="S26">
        <f>INDEX(LINEST(TablePBL41[CU9],TablePBL41[RCR]^{1,2,3}),1)</f>
        <v>-7.1872571872574577E-3</v>
      </c>
      <c r="T26">
        <f>INDEX(LINEST(TablePBL41[CU10],TablePBL41[RCR]^{1,2,3}),1)</f>
        <v>-1.6122766122766183E-2</v>
      </c>
      <c r="U26">
        <f>INDEX(LINEST(TablePBL41[CU11],TablePBL41[RCR]^{1,2,3}),1)</f>
        <v>-2.8554778554778809E-2</v>
      </c>
      <c r="V26">
        <f>INDEX(LINEST(TablePBL41[CU12],TablePBL41[RCR]^{1,2,3}),1)</f>
        <v>-5.0505050505051559E-3</v>
      </c>
      <c r="W26">
        <f>INDEX(LINEST(TablePBL41[CU13],TablePBL41[RCR]^{1,2,3}),1)</f>
        <v>-6.2160062160063288E-3</v>
      </c>
      <c r="X26">
        <f>INDEX(LINEST(TablePBL41[CU14],TablePBL41[RCR]^{1,2,3}),1)</f>
        <v>-1.728826728826769E-2</v>
      </c>
      <c r="Z26" t="s">
        <v>218</v>
      </c>
      <c r="AA26" t="e">
        <f>INDEX(LINEST(TablePBLFR48[CU],TablePBLFR48[RCR]^{1,2,3}),1)</f>
        <v>#VALUE!</v>
      </c>
      <c r="AB26" t="e">
        <f>INDEX(LINEST(TablePBLFR48[CU1],TablePBLFR48[RCR]^{1,2,3}),1)</f>
        <v>#VALUE!</v>
      </c>
      <c r="AC26" t="e">
        <f>INDEX(LINEST(TablePBLFR48[CU2],TablePBLFR48[RCR]^{1,2,3}),1)</f>
        <v>#VALUE!</v>
      </c>
      <c r="AD26" t="e">
        <f>INDEX(LINEST(TablePBLFR48[CU3],TablePBLFR48[RCR]^{1,2,3}),1)</f>
        <v>#VALUE!</v>
      </c>
      <c r="AE26" t="e">
        <f>INDEX(LINEST(TablePBLFR48[CU4],TablePBLFR48[RCR]^{1,2,3}),1)</f>
        <v>#VALUE!</v>
      </c>
      <c r="AF26" t="e">
        <f>INDEX(LINEST(TablePBLFR48[CU5],TablePBLFR48[RCR]^{1,2,3}),1)</f>
        <v>#VALUE!</v>
      </c>
      <c r="AG26" t="e">
        <f>INDEX(LINEST(TablePBLFR48[CU6],TablePBLFR48[RCR]^{1,2,3}),1)</f>
        <v>#VALUE!</v>
      </c>
      <c r="AH26" t="e">
        <f>INDEX(LINEST(TablePBLFR48[CU7],TablePBLFR48[RCR]^{1,2,3}),1)</f>
        <v>#VALUE!</v>
      </c>
      <c r="AI26" t="e">
        <f>INDEX(LINEST(TablePBLFR48[CU8],TablePBLFR48[RCR]^{1,2,3}),1)</f>
        <v>#VALUE!</v>
      </c>
      <c r="AJ26" t="e">
        <f>INDEX(LINEST(TablePBLFR48[CU9],TablePBLFR48[RCR]^{1,2,3}),1)</f>
        <v>#VALUE!</v>
      </c>
      <c r="AK26" t="e">
        <f>INDEX(LINEST(TablePBLFR48[CU10],TablePBLFR48[RCR]^{1,2,3}),1)</f>
        <v>#VALUE!</v>
      </c>
      <c r="AL26" t="e">
        <f>INDEX(LINEST(TablePBLFR48[CU11],TablePBLFR48[RCR]^{1,2,3}),1)</f>
        <v>#VALUE!</v>
      </c>
      <c r="AM26" t="e">
        <f>INDEX(LINEST(TablePBLFR48[CU12],TablePBLFR48[RCR]^{1,2,3}),1)</f>
        <v>#VALUE!</v>
      </c>
      <c r="AN26" t="e">
        <f>INDEX(LINEST(TablePBLFR48[CU13],TablePBLFR48[RCR]^{1,2,3}),1)</f>
        <v>#VALUE!</v>
      </c>
      <c r="AO26" t="e">
        <f>INDEX(LINEST(TablePBLFR48[CU14],TablePBLFR48[RCR]^{1,2,3}),1)</f>
        <v>#VALUE!</v>
      </c>
      <c r="AQ26" t="s">
        <v>218</v>
      </c>
      <c r="AR26" t="e">
        <f>INDEX(LINEST(Table1x43050[CU],Table1x43050[RCR]^{1,2,3}),1)</f>
        <v>#VALUE!</v>
      </c>
      <c r="AS26" t="e">
        <f>INDEX(LINEST(Table1x43050[CU1],Table1x43050[RCR]^{1,2,3}),1)</f>
        <v>#VALUE!</v>
      </c>
      <c r="AT26" t="e">
        <f>INDEX(LINEST(Table1x43050[CU2],Table1x43050[RCR]^{1,2,3}),1)</f>
        <v>#VALUE!</v>
      </c>
      <c r="AU26" t="e">
        <f>INDEX(LINEST(Table1x43050[CU3],Table1x43050[RCR]^{1,2,3}),1)</f>
        <v>#VALUE!</v>
      </c>
      <c r="AV26" t="e">
        <f>INDEX(LINEST(Table1x43050[CU4],Table1x43050[RCR]^{1,2,3}),1)</f>
        <v>#VALUE!</v>
      </c>
      <c r="AW26" t="e">
        <f>INDEX(LINEST(Table1x43050[CU5],Table1x43050[RCR]^{1,2,3}),1)</f>
        <v>#VALUE!</v>
      </c>
      <c r="AX26" t="e">
        <f>INDEX(LINEST(Table1x43050[CU6],Table1x43050[RCR]^{1,2,3}),1)</f>
        <v>#VALUE!</v>
      </c>
      <c r="AY26" t="e">
        <f>INDEX(LINEST(Table1x43050[CU7],Table1x43050[RCR]^{1,2,3}),1)</f>
        <v>#VALUE!</v>
      </c>
      <c r="AZ26" t="e">
        <f>INDEX(LINEST(Table1x43050[CU8],Table1x43050[RCR]^{1,2,3}),1)</f>
        <v>#VALUE!</v>
      </c>
      <c r="BA26" t="e">
        <f>INDEX(LINEST(Table1x43050[CU9],Table1x43050[RCR]^{1,2,3}),1)</f>
        <v>#VALUE!</v>
      </c>
      <c r="BB26" t="e">
        <f>INDEX(LINEST(Table1x43050[CU10],Table1x43050[RCR]^{1,2,3}),1)</f>
        <v>#VALUE!</v>
      </c>
      <c r="BC26" t="e">
        <f>INDEX(LINEST(Table1x43050[CU11],Table1x43050[RCR]^{1,2,3}),1)</f>
        <v>#VALUE!</v>
      </c>
      <c r="BD26" t="e">
        <f>INDEX(LINEST(Table1x43050[CU12],Table1x43050[RCR]^{1,2,3}),1)</f>
        <v>#VALUE!</v>
      </c>
      <c r="BE26" t="e">
        <f>INDEX(LINEST(Table1x43050[CU13],Table1x43050[RCR]^{1,2,3}),1)</f>
        <v>#VALUE!</v>
      </c>
      <c r="BF26" t="e">
        <f>INDEX(LINEST(Table1x43050[CU14],Table1x43050[RCR]^{1,2,3}),1)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INDEX(LINEST(TablePBL41[CU],TablePBL41[RCR]^{1,2,3}),1,2)</f>
        <v>0.73135198135198087</v>
      </c>
      <c r="K27">
        <f>INDEX(LINEST(TablePBL41[CU1],TablePBL41[RCR]^{1,2,3}),1,2)</f>
        <v>1.1235431235431255</v>
      </c>
      <c r="L27">
        <f>INDEX(LINEST(TablePBL41[CU2],TablePBL41[RCR]^{1,2,3}),1,2)</f>
        <v>1.6923076923077012</v>
      </c>
      <c r="M27">
        <f>INDEX(LINEST(TablePBL41[CU3],TablePBL41[RCR]^{1,2,3}),1,2)</f>
        <v>0.59790209790210358</v>
      </c>
      <c r="N27">
        <f>INDEX(LINEST(TablePBL41[CU4],TablePBL41[RCR]^{1,2,3}),1,2)</f>
        <v>1.0151515151515167</v>
      </c>
      <c r="O27">
        <f>INDEX(LINEST(TablePBL41[CU5],TablePBL41[RCR]^{1,2,3}),1,2)</f>
        <v>1.4347319347319436</v>
      </c>
      <c r="P27">
        <f>INDEX(LINEST(TablePBL41[CU6],TablePBL41[RCR]^{1,2,3}),1,2)</f>
        <v>0.46095571095571225</v>
      </c>
      <c r="Q27">
        <f>INDEX(LINEST(TablePBL41[CU7],TablePBL41[RCR]^{1,2,3}),1,2)</f>
        <v>0.85081585081585365</v>
      </c>
      <c r="R27">
        <f>INDEX(LINEST(TablePBL41[CU8],TablePBL41[RCR]^{1,2,3}),1,2)</f>
        <v>1.1975524475524488</v>
      </c>
      <c r="S27">
        <f>INDEX(LINEST(TablePBL41[CU9],TablePBL41[RCR]^{1,2,3}),1,2)</f>
        <v>0.46561771561771903</v>
      </c>
      <c r="T27">
        <f>INDEX(LINEST(TablePBL41[CU10],TablePBL41[RCR]^{1,2,3}),1,2)</f>
        <v>0.70104895104895126</v>
      </c>
      <c r="U27">
        <f>INDEX(LINEST(TablePBL41[CU11],TablePBL41[RCR]^{1,2,3}),1,2)</f>
        <v>0.98310023310023709</v>
      </c>
      <c r="V27">
        <f>INDEX(LINEST(TablePBL41[CU12],TablePBL41[RCR]^{1,2,3}),1,2)</f>
        <v>0.40909090909091045</v>
      </c>
      <c r="W27">
        <f>INDEX(LINEST(TablePBL41[CU13],TablePBL41[RCR]^{1,2,3}),1,2)</f>
        <v>0.51165501165501315</v>
      </c>
      <c r="X27">
        <f>INDEX(LINEST(TablePBL41[CU14],TablePBL41[RCR]^{1,2,3}),1,2)</f>
        <v>0.76048951048951619</v>
      </c>
      <c r="Z27" t="s">
        <v>219</v>
      </c>
      <c r="AA27" t="e">
        <f>INDEX(LINEST(TablePBLFR48[CU],TablePBLFR48[RCR]^{1,2,3}),1,2)</f>
        <v>#VALUE!</v>
      </c>
      <c r="AB27" t="e">
        <f>INDEX(LINEST(TablePBLFR48[CU1],TablePBLFR48[RCR]^{1,2,3}),1,2)</f>
        <v>#VALUE!</v>
      </c>
      <c r="AC27" t="e">
        <f>INDEX(LINEST(TablePBLFR48[CU2],TablePBLFR48[RCR]^{1,2,3}),1,2)</f>
        <v>#VALUE!</v>
      </c>
      <c r="AD27" t="e">
        <f>INDEX(LINEST(TablePBLFR48[CU3],TablePBLFR48[RCR]^{1,2,3}),1,2)</f>
        <v>#VALUE!</v>
      </c>
      <c r="AE27" t="e">
        <f>INDEX(LINEST(TablePBLFR48[CU4],TablePBLFR48[RCR]^{1,2,3}),1,2)</f>
        <v>#VALUE!</v>
      </c>
      <c r="AF27" t="e">
        <f>INDEX(LINEST(TablePBLFR48[CU5],TablePBLFR48[RCR]^{1,2,3}),1,2)</f>
        <v>#VALUE!</v>
      </c>
      <c r="AG27" t="e">
        <f>INDEX(LINEST(TablePBLFR48[CU6],TablePBLFR48[RCR]^{1,2,3}),1,2)</f>
        <v>#VALUE!</v>
      </c>
      <c r="AH27" t="e">
        <f>INDEX(LINEST(TablePBLFR48[CU7],TablePBLFR48[RCR]^{1,2,3}),1,2)</f>
        <v>#VALUE!</v>
      </c>
      <c r="AI27" t="e">
        <f>INDEX(LINEST(TablePBLFR48[CU8],TablePBLFR48[RCR]^{1,2,3}),1,2)</f>
        <v>#VALUE!</v>
      </c>
      <c r="AJ27" t="e">
        <f>INDEX(LINEST(TablePBLFR48[CU9],TablePBLFR48[RCR]^{1,2,3}),1,2)</f>
        <v>#VALUE!</v>
      </c>
      <c r="AK27" t="e">
        <f>INDEX(LINEST(TablePBLFR48[CU10],TablePBLFR48[RCR]^{1,2,3}),1,2)</f>
        <v>#VALUE!</v>
      </c>
      <c r="AL27" t="e">
        <f>INDEX(LINEST(TablePBLFR48[CU11],TablePBLFR48[RCR]^{1,2,3}),1,2)</f>
        <v>#VALUE!</v>
      </c>
      <c r="AM27" t="e">
        <f>INDEX(LINEST(TablePBLFR48[CU12],TablePBLFR48[RCR]^{1,2,3}),1,2)</f>
        <v>#VALUE!</v>
      </c>
      <c r="AN27" t="e">
        <f>INDEX(LINEST(TablePBLFR48[CU13],TablePBLFR48[RCR]^{1,2,3}),1,2)</f>
        <v>#VALUE!</v>
      </c>
      <c r="AO27" t="e">
        <f>INDEX(LINEST(TablePBLFR48[CU14],TablePBLFR48[RCR]^{1,2,3}),1,2)</f>
        <v>#VALUE!</v>
      </c>
      <c r="AQ27" t="s">
        <v>219</v>
      </c>
      <c r="AR27" t="e">
        <f>INDEX(LINEST(Table1x43050[CU],Table1x43050[RCR]^{1,2,3}),1,2)</f>
        <v>#VALUE!</v>
      </c>
      <c r="AS27" t="e">
        <f>INDEX(LINEST(Table1x43050[CU1],Table1x43050[RCR]^{1,2,3}),1,2)</f>
        <v>#VALUE!</v>
      </c>
      <c r="AT27" t="e">
        <f>INDEX(LINEST(Table1x43050[CU2],Table1x43050[RCR]^{1,2,3}),1,2)</f>
        <v>#VALUE!</v>
      </c>
      <c r="AU27" t="e">
        <f>INDEX(LINEST(Table1x43050[CU3],Table1x43050[RCR]^{1,2,3}),1,2)</f>
        <v>#VALUE!</v>
      </c>
      <c r="AV27" t="e">
        <f>INDEX(LINEST(Table1x43050[CU4],Table1x43050[RCR]^{1,2,3}),1,2)</f>
        <v>#VALUE!</v>
      </c>
      <c r="AW27" t="e">
        <f>INDEX(LINEST(Table1x43050[CU5],Table1x43050[RCR]^{1,2,3}),1,2)</f>
        <v>#VALUE!</v>
      </c>
      <c r="AX27" t="e">
        <f>INDEX(LINEST(Table1x43050[CU6],Table1x43050[RCR]^{1,2,3}),1,2)</f>
        <v>#VALUE!</v>
      </c>
      <c r="AY27" t="e">
        <f>INDEX(LINEST(Table1x43050[CU7],Table1x43050[RCR]^{1,2,3}),1,2)</f>
        <v>#VALUE!</v>
      </c>
      <c r="AZ27" t="e">
        <f>INDEX(LINEST(Table1x43050[CU8],Table1x43050[RCR]^{1,2,3}),1,2)</f>
        <v>#VALUE!</v>
      </c>
      <c r="BA27" t="e">
        <f>INDEX(LINEST(Table1x43050[CU9],Table1x43050[RCR]^{1,2,3}),1,2)</f>
        <v>#VALUE!</v>
      </c>
      <c r="BB27" t="e">
        <f>INDEX(LINEST(Table1x43050[CU10],Table1x43050[RCR]^{1,2,3}),1,2)</f>
        <v>#VALUE!</v>
      </c>
      <c r="BC27" t="e">
        <f>INDEX(LINEST(Table1x43050[CU11],Table1x43050[RCR]^{1,2,3}),1,2)</f>
        <v>#VALUE!</v>
      </c>
      <c r="BD27" t="e">
        <f>INDEX(LINEST(Table1x43050[CU12],Table1x43050[RCR]^{1,2,3}),1,2)</f>
        <v>#VALUE!</v>
      </c>
      <c r="BE27" t="e">
        <f>INDEX(LINEST(Table1x43050[CU13],Table1x43050[RCR]^{1,2,3}),1,2)</f>
        <v>#VALUE!</v>
      </c>
      <c r="BF27" t="e">
        <f>INDEX(LINEST(Table1x43050[CU14],Table1x43050[RCR]^{1,2,3}),1,2)</f>
        <v>#VALUE!</v>
      </c>
    </row>
    <row r="28" spans="1:63" x14ac:dyDescent="0.25">
      <c r="C28" s="1"/>
      <c r="H28" s="5"/>
      <c r="I28" t="s">
        <v>220</v>
      </c>
      <c r="J28">
        <f t="array" ref="J28">INDEX(LINEST(TablePBL41[CU],TablePBL41[RCR]^{1,2,3}),1,3)</f>
        <v>-12.700077700077689</v>
      </c>
      <c r="K28">
        <f>INDEX(LINEST(TablePBL41[CU1],TablePBL41[RCR]^{1,2,3}),1,3)</f>
        <v>-15.698523698523697</v>
      </c>
      <c r="L28">
        <f>INDEX(LINEST(TablePBL41[CU2],TablePBL41[RCR]^{1,2,3}),1,3)</f>
        <v>-18.937062937062965</v>
      </c>
      <c r="M28">
        <f>INDEX(LINEST(TablePBL41[CU3],TablePBL41[RCR]^{1,2,3}),1,3)</f>
        <v>-11.70590520590523</v>
      </c>
      <c r="N28">
        <f>INDEX(LINEST(TablePBL41[CU4],TablePBL41[RCR]^{1,2,3}),1,3)</f>
        <v>-14.846930846930842</v>
      </c>
      <c r="O28">
        <f>INDEX(LINEST(TablePBL41[CU5],TablePBL41[RCR]^{1,2,3}),1,3)</f>
        <v>-17.540404040404074</v>
      </c>
      <c r="P28">
        <f>INDEX(LINEST(TablePBL41[CU6],TablePBL41[RCR]^{1,2,3}),1,3)</f>
        <v>-10.603729603729606</v>
      </c>
      <c r="Q28">
        <f>INDEX(LINEST(TablePBL41[CU7],TablePBL41[RCR]^{1,2,3}),1,3)</f>
        <v>-13.317404817404825</v>
      </c>
      <c r="R28">
        <f>INDEX(LINEST(TablePBL41[CU8],TablePBL41[RCR]^{1,2,3}),1,3)</f>
        <v>-15.669774669774668</v>
      </c>
      <c r="S28">
        <f>INDEX(LINEST(TablePBL41[CU9],TablePBL41[RCR]^{1,2,3}),1,3)</f>
        <v>-9.9619269619269701</v>
      </c>
      <c r="T28">
        <f>INDEX(LINEST(TablePBL41[CU10],TablePBL41[RCR]^{1,2,3}),1,3)</f>
        <v>-12.041569541569535</v>
      </c>
      <c r="U28">
        <f>INDEX(LINEST(TablePBL41[CU11],TablePBL41[RCR]^{1,2,3}),1,3)</f>
        <v>-14.017482517482533</v>
      </c>
      <c r="V28">
        <f>INDEX(LINEST(TablePBL41[CU12],TablePBL41[RCR]^{1,2,3}),1,3)</f>
        <v>-9.3131313131313167</v>
      </c>
      <c r="W28">
        <f>INDEX(LINEST(TablePBL41[CU13],TablePBL41[RCR]^{1,2,3}),1,3)</f>
        <v>-10.694250194250198</v>
      </c>
      <c r="X28">
        <f>INDEX(LINEST(TablePBL41[CU14],TablePBL41[RCR]^{1,2,3}),1,3)</f>
        <v>-12.491452991453011</v>
      </c>
      <c r="Z28" t="s">
        <v>220</v>
      </c>
      <c r="AA28" t="e">
        <f>INDEX(LINEST(TablePBLFR48[CU],TablePBLFR48[RCR]^{1,2,3}),1,3)</f>
        <v>#VALUE!</v>
      </c>
      <c r="AB28" t="e">
        <f>INDEX(LINEST(TablePBLFR48[CU1],TablePBLFR48[RCR]^{1,2,3}),1,3)</f>
        <v>#VALUE!</v>
      </c>
      <c r="AC28" t="e">
        <f>INDEX(LINEST(TablePBLFR48[CU2],TablePBLFR48[RCR]^{1,2,3}),1,3)</f>
        <v>#VALUE!</v>
      </c>
      <c r="AD28" t="e">
        <f>INDEX(LINEST(TablePBLFR48[CU3],TablePBLFR48[RCR]^{1,2,3}),1,3)</f>
        <v>#VALUE!</v>
      </c>
      <c r="AE28" t="e">
        <f>INDEX(LINEST(TablePBLFR48[CU4],TablePBLFR48[RCR]^{1,2,3}),1,3)</f>
        <v>#VALUE!</v>
      </c>
      <c r="AF28" t="e">
        <f>INDEX(LINEST(TablePBLFR48[CU5],TablePBLFR48[RCR]^{1,2,3}),1,3)</f>
        <v>#VALUE!</v>
      </c>
      <c r="AG28" t="e">
        <f>INDEX(LINEST(TablePBLFR48[CU6],TablePBLFR48[RCR]^{1,2,3}),1,3)</f>
        <v>#VALUE!</v>
      </c>
      <c r="AH28" t="e">
        <f>INDEX(LINEST(TablePBLFR48[CU7],TablePBLFR48[RCR]^{1,2,3}),1,3)</f>
        <v>#VALUE!</v>
      </c>
      <c r="AI28" t="e">
        <f>INDEX(LINEST(TablePBLFR48[CU8],TablePBLFR48[RCR]^{1,2,3}),1,3)</f>
        <v>#VALUE!</v>
      </c>
      <c r="AJ28" t="e">
        <f>INDEX(LINEST(TablePBLFR48[CU9],TablePBLFR48[RCR]^{1,2,3}),1,3)</f>
        <v>#VALUE!</v>
      </c>
      <c r="AK28" t="e">
        <f>INDEX(LINEST(TablePBLFR48[CU10],TablePBLFR48[RCR]^{1,2,3}),1,3)</f>
        <v>#VALUE!</v>
      </c>
      <c r="AL28" t="e">
        <f>INDEX(LINEST(TablePBLFR48[CU11],TablePBLFR48[RCR]^{1,2,3}),1,3)</f>
        <v>#VALUE!</v>
      </c>
      <c r="AM28" t="e">
        <f>INDEX(LINEST(TablePBLFR48[CU12],TablePBLFR48[RCR]^{1,2,3}),1,3)</f>
        <v>#VALUE!</v>
      </c>
      <c r="AN28" t="e">
        <f>INDEX(LINEST(TablePBLFR48[CU13],TablePBLFR48[RCR]^{1,2,3}),1,3)</f>
        <v>#VALUE!</v>
      </c>
      <c r="AO28" t="e">
        <f>INDEX(LINEST(TablePBLFR48[CU14],TablePBLFR48[RCR]^{1,2,3}),1,3)</f>
        <v>#VALUE!</v>
      </c>
      <c r="AQ28" t="s">
        <v>220</v>
      </c>
      <c r="AR28" t="e">
        <f>INDEX(LINEST(Table1x43050[CU],Table1x43050[RCR]^{1,2,3}),1,3)</f>
        <v>#VALUE!</v>
      </c>
      <c r="AS28" t="e">
        <f>INDEX(LINEST(Table1x43050[CU1],Table1x43050[RCR]^{1,2,3}),1,3)</f>
        <v>#VALUE!</v>
      </c>
      <c r="AT28" t="e">
        <f>INDEX(LINEST(Table1x43050[CU2],Table1x43050[RCR]^{1,2,3}),1,3)</f>
        <v>#VALUE!</v>
      </c>
      <c r="AU28" t="e">
        <f>INDEX(LINEST(Table1x43050[CU3],Table1x43050[RCR]^{1,2,3}),1,3)</f>
        <v>#VALUE!</v>
      </c>
      <c r="AV28" t="e">
        <f>INDEX(LINEST(Table1x43050[CU4],Table1x43050[RCR]^{1,2,3}),1,3)</f>
        <v>#VALUE!</v>
      </c>
      <c r="AW28" t="e">
        <f>INDEX(LINEST(Table1x43050[CU5],Table1x43050[RCR]^{1,2,3}),1,3)</f>
        <v>#VALUE!</v>
      </c>
      <c r="AX28" t="e">
        <f>INDEX(LINEST(Table1x43050[CU6],Table1x43050[RCR]^{1,2,3}),1,3)</f>
        <v>#VALUE!</v>
      </c>
      <c r="AY28" t="e">
        <f>INDEX(LINEST(Table1x43050[CU7],Table1x43050[RCR]^{1,2,3}),1,3)</f>
        <v>#VALUE!</v>
      </c>
      <c r="AZ28" t="e">
        <f>INDEX(LINEST(Table1x43050[CU8],Table1x43050[RCR]^{1,2,3}),1,3)</f>
        <v>#VALUE!</v>
      </c>
      <c r="BA28" t="e">
        <f>INDEX(LINEST(Table1x43050[CU9],Table1x43050[RCR]^{1,2,3}),1,3)</f>
        <v>#VALUE!</v>
      </c>
      <c r="BB28" t="e">
        <f>INDEX(LINEST(Table1x43050[CU10],Table1x43050[RCR]^{1,2,3}),1,3)</f>
        <v>#VALUE!</v>
      </c>
      <c r="BC28" t="e">
        <f>INDEX(LINEST(Table1x43050[CU11],Table1x43050[RCR]^{1,2,3}),1,3)</f>
        <v>#VALUE!</v>
      </c>
      <c r="BD28" t="e">
        <f>INDEX(LINEST(Table1x43050[CU12],Table1x43050[RCR]^{1,2,3}),1,3)</f>
        <v>#VALUE!</v>
      </c>
      <c r="BE28" t="e">
        <f>INDEX(LINEST(Table1x43050[CU13],Table1x43050[RCR]^{1,2,3}),1,3)</f>
        <v>#VALUE!</v>
      </c>
      <c r="BF28" t="e">
        <f>INDEX(LINEST(Table1x43050[CU14],Table1x43050[RCR]^{1,2,3}),1,3)</f>
        <v>#VALUE!</v>
      </c>
    </row>
    <row r="29" spans="1:63" x14ac:dyDescent="0.25">
      <c r="C29" s="3"/>
      <c r="H29" s="5"/>
      <c r="I29" t="s">
        <v>221</v>
      </c>
      <c r="J29">
        <f>INDEX(LINEST(TablePBL41[CU],TablePBL41[RCR]^{1,2,3}),1,4)</f>
        <v>119.38461538461536</v>
      </c>
      <c r="K29">
        <f>INDEX(LINEST(TablePBL41[CU1],TablePBL41[RCR]^{1,2,3}),1,4)</f>
        <v>118.90209790209789</v>
      </c>
      <c r="L29">
        <f>INDEX(LINEST(TablePBL41[CU2],TablePBL41[RCR]^{1,2,3}),1,4)</f>
        <v>118.67132867132865</v>
      </c>
      <c r="M29">
        <f>INDEX(LINEST(TablePBL41[CU3],TablePBL41[RCR]^{1,2,3}),1,4)</f>
        <v>116.04895104895105</v>
      </c>
      <c r="N29">
        <f>INDEX(LINEST(TablePBL41[CU4],TablePBL41[RCR]^{1,2,3}),1,4)</f>
        <v>116.23076923076923</v>
      </c>
      <c r="O29">
        <f>INDEX(LINEST(TablePBL41[CU5],TablePBL41[RCR]^{1,2,3}),1,4)</f>
        <v>116.00699300699303</v>
      </c>
      <c r="P29">
        <f>INDEX(LINEST(TablePBL41[CU6],TablePBL41[RCR]^{1,2,3}),1,4)</f>
        <v>111.09790209790211</v>
      </c>
      <c r="Q29">
        <f>INDEX(LINEST(TablePBL41[CU7],TablePBL41[RCR]^{1,2,3}),1,4)</f>
        <v>111.20279720279719</v>
      </c>
      <c r="R29">
        <f>INDEX(LINEST(TablePBL41[CU8],TablePBL41[RCR]^{1,2,3}),1,4)</f>
        <v>111.1398601398601</v>
      </c>
      <c r="S29">
        <f>INDEX(LINEST(TablePBL41[CU9],TablePBL41[RCR]^{1,2,3}),1,4)</f>
        <v>106.30769230769229</v>
      </c>
      <c r="T29">
        <f>INDEX(LINEST(TablePBL41[CU10],TablePBL41[RCR]^{1,2,3}),1,4)</f>
        <v>106.46853146853144</v>
      </c>
      <c r="U29">
        <f>INDEX(LINEST(TablePBL41[CU11],TablePBL41[RCR]^{1,2,3}),1,4)</f>
        <v>106.34965034965036</v>
      </c>
      <c r="V29">
        <f>INDEX(LINEST(TablePBL41[CU12],TablePBL41[RCR]^{1,2,3}),1,4)</f>
        <v>102.45454545454544</v>
      </c>
      <c r="W29">
        <f>INDEX(LINEST(TablePBL41[CU13],TablePBL41[RCR]^{1,2,3}),1,4)</f>
        <v>102.09090909090909</v>
      </c>
      <c r="X29">
        <f>INDEX(LINEST(TablePBL41[CU14],TablePBL41[RCR]^{1,2,3}),1,4)</f>
        <v>102.23076923076924</v>
      </c>
      <c r="Z29" t="s">
        <v>221</v>
      </c>
      <c r="AA29" t="e">
        <f>INDEX(LINEST(TablePBLFR48[CU],TablePBLFR48[RCR]^{1,2,3}),1,4)</f>
        <v>#VALUE!</v>
      </c>
      <c r="AB29" t="e">
        <f>INDEX(LINEST(TablePBLFR48[CU1],TablePBLFR48[RCR]^{1,2,3}),1,4)</f>
        <v>#VALUE!</v>
      </c>
      <c r="AC29" t="e">
        <f>INDEX(LINEST(TablePBLFR48[CU2],TablePBLFR48[RCR]^{1,2,3}),1,4)</f>
        <v>#VALUE!</v>
      </c>
      <c r="AD29" t="e">
        <f>INDEX(LINEST(TablePBLFR48[CU3],TablePBLFR48[RCR]^{1,2,3}),1,4)</f>
        <v>#VALUE!</v>
      </c>
      <c r="AE29" t="e">
        <f>INDEX(LINEST(TablePBLFR48[CU4],TablePBLFR48[RCR]^{1,2,3}),1,4)</f>
        <v>#VALUE!</v>
      </c>
      <c r="AF29" t="e">
        <f>INDEX(LINEST(TablePBLFR48[CU5],TablePBLFR48[RCR]^{1,2,3}),1,4)</f>
        <v>#VALUE!</v>
      </c>
      <c r="AG29" t="e">
        <f>INDEX(LINEST(TablePBLFR48[CU6],TablePBLFR48[RCR]^{1,2,3}),1,4)</f>
        <v>#VALUE!</v>
      </c>
      <c r="AH29" t="e">
        <f>INDEX(LINEST(TablePBLFR48[CU7],TablePBLFR48[RCR]^{1,2,3}),1,4)</f>
        <v>#VALUE!</v>
      </c>
      <c r="AI29" t="e">
        <f>INDEX(LINEST(TablePBLFR48[CU8],TablePBLFR48[RCR]^{1,2,3}),1,4)</f>
        <v>#VALUE!</v>
      </c>
      <c r="AJ29" t="e">
        <f>INDEX(LINEST(TablePBLFR48[CU9],TablePBLFR48[RCR]^{1,2,3}),1,4)</f>
        <v>#VALUE!</v>
      </c>
      <c r="AK29" t="e">
        <f>INDEX(LINEST(TablePBLFR48[CU10],TablePBLFR48[RCR]^{1,2,3}),1,4)</f>
        <v>#VALUE!</v>
      </c>
      <c r="AL29" t="e">
        <f>INDEX(LINEST(TablePBLFR48[CU11],TablePBLFR48[RCR]^{1,2,3}),1,4)</f>
        <v>#VALUE!</v>
      </c>
      <c r="AM29" t="e">
        <f>INDEX(LINEST(TablePBLFR48[CU12],TablePBLFR48[RCR]^{1,2,3}),1,4)</f>
        <v>#VALUE!</v>
      </c>
      <c r="AN29" t="e">
        <f>INDEX(LINEST(TablePBLFR48[CU13],TablePBLFR48[RCR]^{1,2,3}),1,4)</f>
        <v>#VALUE!</v>
      </c>
      <c r="AO29" t="e">
        <f>INDEX(LINEST(TablePBLFR48[CU14],TablePBLFR48[RCR]^{1,2,3}),1,4)</f>
        <v>#VALUE!</v>
      </c>
      <c r="AQ29" t="s">
        <v>221</v>
      </c>
      <c r="AR29" t="e">
        <f>INDEX(LINEST(Table1x43050[CU],Table1x43050[RCR]^{1,2,3}),1,4)</f>
        <v>#VALUE!</v>
      </c>
      <c r="AS29" t="e">
        <f>INDEX(LINEST(Table1x43050[CU1],Table1x43050[RCR]^{1,2,3}),1,4)</f>
        <v>#VALUE!</v>
      </c>
      <c r="AT29" t="e">
        <f>INDEX(LINEST(Table1x43050[CU2],Table1x43050[RCR]^{1,2,3}),1,4)</f>
        <v>#VALUE!</v>
      </c>
      <c r="AU29" t="e">
        <f>INDEX(LINEST(Table1x43050[CU3],Table1x43050[RCR]^{1,2,3}),1,4)</f>
        <v>#VALUE!</v>
      </c>
      <c r="AV29" t="e">
        <f>INDEX(LINEST(Table1x43050[CU4],Table1x43050[RCR]^{1,2,3}),1,4)</f>
        <v>#VALUE!</v>
      </c>
      <c r="AW29" t="e">
        <f>INDEX(LINEST(Table1x43050[CU5],Table1x43050[RCR]^{1,2,3}),1,4)</f>
        <v>#VALUE!</v>
      </c>
      <c r="AX29" t="e">
        <f>INDEX(LINEST(Table1x43050[CU6],Table1x43050[RCR]^{1,2,3}),1,4)</f>
        <v>#VALUE!</v>
      </c>
      <c r="AY29" t="e">
        <f>INDEX(LINEST(Table1x43050[CU7],Table1x43050[RCR]^{1,2,3}),1,4)</f>
        <v>#VALUE!</v>
      </c>
      <c r="AZ29" t="e">
        <f>INDEX(LINEST(Table1x43050[CU8],Table1x43050[RCR]^{1,2,3}),1,4)</f>
        <v>#VALUE!</v>
      </c>
      <c r="BA29" t="e">
        <f>INDEX(LINEST(Table1x43050[CU9],Table1x43050[RCR]^{1,2,3}),1,4)</f>
        <v>#VALUE!</v>
      </c>
      <c r="BB29" t="e">
        <f>INDEX(LINEST(Table1x43050[CU10],Table1x43050[RCR]^{1,2,3}),1,4)</f>
        <v>#VALUE!</v>
      </c>
      <c r="BC29" t="e">
        <f>INDEX(LINEST(Table1x43050[CU11],Table1x43050[RCR]^{1,2,3}),1,4)</f>
        <v>#VALUE!</v>
      </c>
      <c r="BD29" t="e">
        <f>INDEX(LINEST(Table1x43050[CU12],Table1x43050[RCR]^{1,2,3}),1,4)</f>
        <v>#VALUE!</v>
      </c>
      <c r="BE29" t="e">
        <f>INDEX(LINEST(Table1x43050[CU13],Table1x43050[RCR]^{1,2,3}),1,4)</f>
        <v>#VALUE!</v>
      </c>
      <c r="BF29" t="e">
        <f>INDEX(LINEST(Table1x43050[CU14],Table1x43050[RCR]^{1,2,3}),1,4)</f>
        <v>#VALUE!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114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116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116</v>
      </c>
      <c r="L34" t="e">
        <f>K25</f>
        <v>#DIV/0!</v>
      </c>
    </row>
    <row r="35" spans="1:63" x14ac:dyDescent="0.25">
      <c r="C35" s="14"/>
      <c r="H35" t="s">
        <v>17</v>
      </c>
      <c r="I35">
        <v>80</v>
      </c>
      <c r="J35">
        <v>10</v>
      </c>
      <c r="K35" t="s">
        <v>116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116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116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116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116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116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116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116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116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1.02</v>
      </c>
      <c r="F44" s="12">
        <f>E44*(C14-C15)</f>
        <v>-2.5499999999999998</v>
      </c>
      <c r="H44" t="s">
        <v>25</v>
      </c>
      <c r="I44">
        <v>30</v>
      </c>
      <c r="J44">
        <v>10</v>
      </c>
      <c r="K44" t="s">
        <v>116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</v>
      </c>
      <c r="F45" s="12">
        <f>E45*(C14-C15)</f>
        <v>-3.25</v>
      </c>
      <c r="H45" t="s">
        <v>27</v>
      </c>
      <c r="I45">
        <v>10</v>
      </c>
      <c r="J45">
        <v>50</v>
      </c>
      <c r="K45" t="s">
        <v>116</v>
      </c>
      <c r="L45" t="e">
        <f>V25</f>
        <v>#DIV/0!</v>
      </c>
    </row>
    <row r="46" spans="1:63" x14ac:dyDescent="0.25">
      <c r="B46" t="s">
        <v>1346</v>
      </c>
      <c r="C46" s="1" t="e">
        <f>IF(C39=1,C11/2,C44/2)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116</v>
      </c>
      <c r="L46" t="e">
        <f>W25</f>
        <v>#DIV/0!</v>
      </c>
    </row>
    <row r="47" spans="1:63" x14ac:dyDescent="0.25">
      <c r="B47" t="s">
        <v>1347</v>
      </c>
      <c r="C47" s="1" t="e">
        <f>IF(C40=1,C12/2,C45/2)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116</v>
      </c>
      <c r="L47" t="e">
        <f>X25</f>
        <v>#DIV/0!</v>
      </c>
    </row>
    <row r="48" spans="1:63" ht="15" customHeight="1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 t="s">
        <v>115</v>
      </c>
      <c r="L48" t="e">
        <f>AA25</f>
        <v>#VALUE!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115</v>
      </c>
      <c r="L49" t="e">
        <f>AB25</f>
        <v>#VALUE!</v>
      </c>
    </row>
    <row r="50" spans="1:12" x14ac:dyDescent="0.25">
      <c r="H50" t="s">
        <v>17</v>
      </c>
      <c r="I50">
        <v>80</v>
      </c>
      <c r="J50">
        <v>10</v>
      </c>
      <c r="K50" t="s">
        <v>115</v>
      </c>
      <c r="L50" t="e">
        <f>AC25</f>
        <v>#VALUE!</v>
      </c>
    </row>
    <row r="51" spans="1:12" x14ac:dyDescent="0.25">
      <c r="H51" t="s">
        <v>18</v>
      </c>
      <c r="I51">
        <v>70</v>
      </c>
      <c r="J51">
        <v>50</v>
      </c>
      <c r="K51" t="s">
        <v>115</v>
      </c>
      <c r="L51" t="e">
        <f>AD25</f>
        <v>#VALUE!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115</v>
      </c>
      <c r="L52" t="e">
        <f>AE25</f>
        <v>#VALUE!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115</v>
      </c>
      <c r="L53" t="e">
        <f>AF25</f>
        <v>#VALUE!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115</v>
      </c>
      <c r="L54" t="e">
        <f>AG25</f>
        <v>#VALUE!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115</v>
      </c>
      <c r="L55" t="e">
        <f>AH25</f>
        <v>#VALUE!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115</v>
      </c>
      <c r="L56" t="e">
        <f>AI25</f>
        <v>#VALUE!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115</v>
      </c>
      <c r="L57" t="e">
        <f>AJ25</f>
        <v>#VALUE!</v>
      </c>
    </row>
    <row r="58" spans="1:12" x14ac:dyDescent="0.25">
      <c r="H58" t="s">
        <v>26</v>
      </c>
      <c r="I58">
        <v>30</v>
      </c>
      <c r="J58">
        <v>30</v>
      </c>
      <c r="K58" t="s">
        <v>115</v>
      </c>
      <c r="L58" t="e">
        <f>AK25</f>
        <v>#VALUE!</v>
      </c>
    </row>
    <row r="59" spans="1:12" x14ac:dyDescent="0.25">
      <c r="H59" t="s">
        <v>25</v>
      </c>
      <c r="I59">
        <v>30</v>
      </c>
      <c r="J59">
        <v>10</v>
      </c>
      <c r="K59" t="s">
        <v>115</v>
      </c>
      <c r="L59" t="e">
        <f>AL25</f>
        <v>#VALUE!</v>
      </c>
    </row>
    <row r="60" spans="1:12" x14ac:dyDescent="0.25">
      <c r="H60" t="s">
        <v>27</v>
      </c>
      <c r="I60">
        <v>10</v>
      </c>
      <c r="J60">
        <v>50</v>
      </c>
      <c r="K60" t="s">
        <v>115</v>
      </c>
      <c r="L60" t="e">
        <f>AM25</f>
        <v>#VALUE!</v>
      </c>
    </row>
    <row r="61" spans="1:12" x14ac:dyDescent="0.25">
      <c r="H61" t="s">
        <v>28</v>
      </c>
      <c r="I61">
        <v>10</v>
      </c>
      <c r="J61">
        <v>30</v>
      </c>
      <c r="K61" t="s">
        <v>115</v>
      </c>
      <c r="L61" t="e">
        <f>AN25</f>
        <v>#VALUE!</v>
      </c>
    </row>
    <row r="62" spans="1:12" x14ac:dyDescent="0.25">
      <c r="H62" t="s">
        <v>29</v>
      </c>
      <c r="I62">
        <v>10</v>
      </c>
      <c r="J62">
        <v>10</v>
      </c>
      <c r="K62" t="s">
        <v>115</v>
      </c>
      <c r="L62" t="e">
        <f>AO25</f>
        <v>#VALUE!</v>
      </c>
    </row>
    <row r="63" spans="1:12" x14ac:dyDescent="0.25">
      <c r="H63" t="s">
        <v>13</v>
      </c>
      <c r="I63">
        <v>80</v>
      </c>
      <c r="J63">
        <v>50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385</v>
      </c>
      <c r="J81">
        <v>11933</v>
      </c>
      <c r="K81">
        <v>84</v>
      </c>
    </row>
    <row r="82" spans="9:22" x14ac:dyDescent="0.25">
      <c r="I82" t="s">
        <v>386</v>
      </c>
      <c r="J82">
        <v>16033</v>
      </c>
      <c r="K82">
        <v>120</v>
      </c>
    </row>
    <row r="83" spans="9:22" x14ac:dyDescent="0.25">
      <c r="I83" t="s">
        <v>387</v>
      </c>
      <c r="J83">
        <v>19922</v>
      </c>
      <c r="K83">
        <v>160</v>
      </c>
    </row>
    <row r="84" spans="9:22" x14ac:dyDescent="0.25">
      <c r="I84" t="s">
        <v>388</v>
      </c>
      <c r="J84">
        <v>22574</v>
      </c>
      <c r="K84">
        <v>189</v>
      </c>
    </row>
    <row r="85" spans="9:22" x14ac:dyDescent="0.25">
      <c r="I85" t="s">
        <v>389</v>
      </c>
      <c r="J85">
        <v>23135</v>
      </c>
      <c r="K85">
        <v>168</v>
      </c>
    </row>
    <row r="86" spans="9:22" x14ac:dyDescent="0.25">
      <c r="I86" t="s">
        <v>390</v>
      </c>
      <c r="J86">
        <v>31550</v>
      </c>
      <c r="K86">
        <v>240</v>
      </c>
    </row>
    <row r="87" spans="9:22" x14ac:dyDescent="0.25">
      <c r="I87" t="s">
        <v>391</v>
      </c>
      <c r="J87">
        <v>39844</v>
      </c>
      <c r="K87">
        <v>320</v>
      </c>
      <c r="N87" t="s">
        <v>11</v>
      </c>
      <c r="O87" t="s">
        <v>12</v>
      </c>
      <c r="P87" t="s">
        <v>15</v>
      </c>
      <c r="R87" t="s">
        <v>114</v>
      </c>
      <c r="S87" t="s">
        <v>135</v>
      </c>
      <c r="T87" t="s">
        <v>136</v>
      </c>
      <c r="V87" t="s">
        <v>138</v>
      </c>
    </row>
    <row r="88" spans="9:22" x14ac:dyDescent="0.25">
      <c r="I88" t="s">
        <v>392</v>
      </c>
      <c r="J88">
        <v>12302</v>
      </c>
      <c r="K88">
        <v>84</v>
      </c>
      <c r="N88">
        <v>80</v>
      </c>
      <c r="O88">
        <v>50</v>
      </c>
      <c r="P88">
        <v>20</v>
      </c>
      <c r="R88" t="s">
        <v>115</v>
      </c>
      <c r="V88">
        <v>0</v>
      </c>
    </row>
    <row r="89" spans="9:22" x14ac:dyDescent="0.25">
      <c r="I89" t="s">
        <v>393</v>
      </c>
      <c r="J89">
        <v>16529</v>
      </c>
      <c r="K89">
        <v>120</v>
      </c>
      <c r="N89">
        <v>70</v>
      </c>
      <c r="O89">
        <v>30</v>
      </c>
      <c r="R89" t="s">
        <v>116</v>
      </c>
      <c r="S89" s="11">
        <v>1.3</v>
      </c>
      <c r="T89">
        <v>1.02</v>
      </c>
      <c r="V89">
        <v>90</v>
      </c>
    </row>
    <row r="90" spans="9:22" x14ac:dyDescent="0.25">
      <c r="I90" t="s">
        <v>394</v>
      </c>
      <c r="J90">
        <v>20538</v>
      </c>
      <c r="K90">
        <v>160</v>
      </c>
      <c r="N90">
        <v>50</v>
      </c>
      <c r="O90">
        <v>10</v>
      </c>
    </row>
    <row r="91" spans="9:22" x14ac:dyDescent="0.25">
      <c r="I91" t="s">
        <v>395</v>
      </c>
      <c r="J91">
        <v>23272</v>
      </c>
      <c r="K91">
        <v>189</v>
      </c>
      <c r="N91">
        <v>30</v>
      </c>
    </row>
    <row r="92" spans="9:22" x14ac:dyDescent="0.25">
      <c r="I92" t="s">
        <v>396</v>
      </c>
      <c r="J92">
        <v>23850</v>
      </c>
      <c r="K92">
        <v>168</v>
      </c>
      <c r="N92">
        <v>10</v>
      </c>
    </row>
    <row r="93" spans="9:22" x14ac:dyDescent="0.25">
      <c r="I93" t="s">
        <v>397</v>
      </c>
      <c r="J93">
        <v>32525</v>
      </c>
      <c r="K93">
        <v>240</v>
      </c>
    </row>
    <row r="94" spans="9:22" x14ac:dyDescent="0.25">
      <c r="I94" t="s">
        <v>398</v>
      </c>
      <c r="J94">
        <v>41076</v>
      </c>
      <c r="K94">
        <v>320</v>
      </c>
    </row>
    <row r="95" spans="9:22" x14ac:dyDescent="0.25">
      <c r="I95" t="s">
        <v>399</v>
      </c>
      <c r="J95">
        <v>12671</v>
      </c>
      <c r="K95">
        <v>84</v>
      </c>
    </row>
    <row r="96" spans="9:22" x14ac:dyDescent="0.25">
      <c r="I96" t="s">
        <v>400</v>
      </c>
      <c r="J96">
        <v>17025</v>
      </c>
      <c r="K96">
        <v>120</v>
      </c>
    </row>
    <row r="97" spans="9:11" x14ac:dyDescent="0.25">
      <c r="I97" t="s">
        <v>401</v>
      </c>
      <c r="J97">
        <v>21154</v>
      </c>
      <c r="K97">
        <v>160</v>
      </c>
    </row>
    <row r="98" spans="9:11" x14ac:dyDescent="0.25">
      <c r="I98" t="s">
        <v>402</v>
      </c>
      <c r="J98">
        <v>23970</v>
      </c>
      <c r="K98">
        <v>189</v>
      </c>
    </row>
    <row r="99" spans="9:11" x14ac:dyDescent="0.25">
      <c r="I99" t="s">
        <v>403</v>
      </c>
      <c r="J99">
        <v>24566</v>
      </c>
      <c r="K99">
        <v>168</v>
      </c>
    </row>
    <row r="100" spans="9:11" x14ac:dyDescent="0.25">
      <c r="I100" t="s">
        <v>404</v>
      </c>
      <c r="J100">
        <v>33501</v>
      </c>
      <c r="K100">
        <v>240</v>
      </c>
    </row>
    <row r="101" spans="9:11" x14ac:dyDescent="0.25">
      <c r="I101" t="s">
        <v>405</v>
      </c>
      <c r="J101">
        <v>42308</v>
      </c>
      <c r="K101">
        <v>320</v>
      </c>
    </row>
  </sheetData>
  <sheetProtection algorithmName="SHA-512" hashValue="TphQNCdbxyQ7Gj2tr5W/B2flM1Jn7JMt6L832PHBPWTPt/9MAhygM+Hq0TrpB+FLgAZ7fVNzj+hunTpspynQ+Q==" saltValue="xDn8CDGqqVhEqfQOAGjX2g==" spinCount="100000" sheet="1" selectLockedCells="1"/>
  <mergeCells count="4">
    <mergeCell ref="A52:D55"/>
    <mergeCell ref="BI6:BK6"/>
    <mergeCell ref="BI7:BK7"/>
    <mergeCell ref="BI5:BK5"/>
  </mergeCells>
  <conditionalFormatting sqref="C44">
    <cfRule type="cellIs" dxfId="213" priority="3" operator="greaterThan">
      <formula>$F$44</formula>
    </cfRule>
  </conditionalFormatting>
  <conditionalFormatting sqref="C45">
    <cfRule type="cellIs" dxfId="212" priority="2" operator="greaterThan">
      <formula>$F$45</formula>
    </cfRule>
  </conditionalFormatting>
  <dataValidations count="4">
    <dataValidation type="list" allowBlank="1" showInputMessage="1" showErrorMessage="1" sqref="C43" xr:uid="{D30BD252-97B8-47AD-BF3C-DBC7908F5580}">
      <formula1>$V$88:$V$89</formula1>
    </dataValidation>
    <dataValidation type="list" allowBlank="1" showInputMessage="1" showErrorMessage="1" sqref="C18" xr:uid="{C32D074C-A776-4B42-9C65-5582081FEC8B}">
      <formula1>$O$88:$O$90</formula1>
    </dataValidation>
    <dataValidation type="list" allowBlank="1" showInputMessage="1" showErrorMessage="1" sqref="C17" xr:uid="{2DE11D45-B1B3-4BB7-905B-1FA686078754}">
      <formula1>$N$88:$N$92</formula1>
    </dataValidation>
    <dataValidation type="list" allowBlank="1" showInputMessage="1" showErrorMessage="1" sqref="C21" xr:uid="{45C41855-6515-4220-948C-EC2634662F40}">
      <formula1>$I$81:$I$101</formula1>
    </dataValidation>
  </dataValidations>
  <pageMargins left="0.45" right="0.45" top="0.5" bottom="0.5" header="0.3" footer="0.3"/>
  <pageSetup scale="88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BF77-DA29-496C-9EB1-CC7B8D4955DB}">
  <sheetPr>
    <pageSetUpPr fitToPage="1"/>
  </sheetPr>
  <dimension ref="A5:BK92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5.140625" customWidth="1"/>
    <col min="3" max="3" width="24.8554687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803</v>
      </c>
      <c r="BH7" s="5" t="s">
        <v>1345</v>
      </c>
      <c r="BI7" s="37"/>
      <c r="BJ7" s="37"/>
      <c r="BK7" s="37"/>
    </row>
    <row r="9" spans="1:63" x14ac:dyDescent="0.25">
      <c r="I9" s="6" t="s">
        <v>117</v>
      </c>
      <c r="Z9" s="2" t="s">
        <v>114</v>
      </c>
      <c r="AQ9" s="2"/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Q13">
        <v>0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105</v>
      </c>
      <c r="K14">
        <v>101</v>
      </c>
      <c r="L14">
        <v>97</v>
      </c>
      <c r="M14">
        <v>102</v>
      </c>
      <c r="N14">
        <v>99</v>
      </c>
      <c r="O14">
        <v>95</v>
      </c>
      <c r="P14">
        <v>98</v>
      </c>
      <c r="Q14">
        <v>95</v>
      </c>
      <c r="R14">
        <v>92</v>
      </c>
      <c r="S14">
        <v>94</v>
      </c>
      <c r="T14">
        <v>92</v>
      </c>
      <c r="U14">
        <v>89</v>
      </c>
      <c r="V14">
        <v>91</v>
      </c>
      <c r="W14">
        <v>89</v>
      </c>
      <c r="X14">
        <v>87</v>
      </c>
      <c r="Z14">
        <v>1</v>
      </c>
      <c r="AQ14">
        <v>1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91</v>
      </c>
      <c r="K15">
        <v>85</v>
      </c>
      <c r="L15">
        <v>79</v>
      </c>
      <c r="M15">
        <v>89</v>
      </c>
      <c r="N15">
        <v>83</v>
      </c>
      <c r="O15">
        <v>78</v>
      </c>
      <c r="P15">
        <v>86</v>
      </c>
      <c r="Q15">
        <v>81</v>
      </c>
      <c r="R15">
        <v>76</v>
      </c>
      <c r="S15">
        <v>83</v>
      </c>
      <c r="T15">
        <v>78</v>
      </c>
      <c r="U15">
        <v>75</v>
      </c>
      <c r="V15">
        <v>80</v>
      </c>
      <c r="W15">
        <v>76</v>
      </c>
      <c r="X15">
        <v>73</v>
      </c>
      <c r="Z15">
        <v>2</v>
      </c>
      <c r="AQ15">
        <v>2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80</v>
      </c>
      <c r="K16">
        <v>72</v>
      </c>
      <c r="L16">
        <v>66</v>
      </c>
      <c r="M16">
        <v>79</v>
      </c>
      <c r="N16">
        <v>71</v>
      </c>
      <c r="O16">
        <v>65</v>
      </c>
      <c r="P16">
        <v>76</v>
      </c>
      <c r="Q16">
        <v>69</v>
      </c>
      <c r="R16">
        <v>64</v>
      </c>
      <c r="S16">
        <v>73</v>
      </c>
      <c r="T16">
        <v>67</v>
      </c>
      <c r="U16">
        <v>63</v>
      </c>
      <c r="V16">
        <v>70</v>
      </c>
      <c r="W16">
        <v>66</v>
      </c>
      <c r="X16">
        <v>62</v>
      </c>
      <c r="Z16">
        <v>3</v>
      </c>
      <c r="AQ16">
        <v>3</v>
      </c>
    </row>
    <row r="17" spans="1:63" x14ac:dyDescent="0.25">
      <c r="B17" t="s">
        <v>5</v>
      </c>
      <c r="C17" s="22">
        <v>70</v>
      </c>
      <c r="I17">
        <v>4</v>
      </c>
      <c r="J17">
        <v>71</v>
      </c>
      <c r="K17">
        <v>62</v>
      </c>
      <c r="L17">
        <v>56</v>
      </c>
      <c r="M17">
        <v>70</v>
      </c>
      <c r="N17">
        <v>61</v>
      </c>
      <c r="O17">
        <v>55</v>
      </c>
      <c r="P17">
        <v>67</v>
      </c>
      <c r="Q17">
        <v>60</v>
      </c>
      <c r="R17">
        <v>54</v>
      </c>
      <c r="S17">
        <v>65</v>
      </c>
      <c r="T17">
        <v>59</v>
      </c>
      <c r="U17">
        <v>54</v>
      </c>
      <c r="V17">
        <v>63</v>
      </c>
      <c r="W17">
        <v>57</v>
      </c>
      <c r="X17">
        <v>53</v>
      </c>
      <c r="Z17">
        <v>4</v>
      </c>
      <c r="AQ17">
        <v>4</v>
      </c>
    </row>
    <row r="18" spans="1:63" x14ac:dyDescent="0.25">
      <c r="B18" t="s">
        <v>6</v>
      </c>
      <c r="C18" s="22">
        <v>30</v>
      </c>
      <c r="I18">
        <v>5</v>
      </c>
      <c r="J18">
        <v>63</v>
      </c>
      <c r="K18">
        <v>54</v>
      </c>
      <c r="L18">
        <v>48</v>
      </c>
      <c r="M18">
        <v>62</v>
      </c>
      <c r="N18">
        <v>54</v>
      </c>
      <c r="O18">
        <v>47</v>
      </c>
      <c r="P18">
        <v>60</v>
      </c>
      <c r="Q18">
        <v>53</v>
      </c>
      <c r="R18">
        <v>47</v>
      </c>
      <c r="S18">
        <v>58</v>
      </c>
      <c r="T18">
        <v>52</v>
      </c>
      <c r="U18">
        <v>46</v>
      </c>
      <c r="V18">
        <v>56</v>
      </c>
      <c r="W18">
        <v>50</v>
      </c>
      <c r="X18">
        <v>46</v>
      </c>
      <c r="Z18">
        <v>5</v>
      </c>
      <c r="AQ18">
        <v>5</v>
      </c>
    </row>
    <row r="19" spans="1:63" x14ac:dyDescent="0.25">
      <c r="B19" t="s">
        <v>7</v>
      </c>
      <c r="C19">
        <v>20</v>
      </c>
      <c r="I19">
        <v>6</v>
      </c>
      <c r="J19">
        <v>57</v>
      </c>
      <c r="K19">
        <v>48</v>
      </c>
      <c r="L19">
        <v>42</v>
      </c>
      <c r="M19">
        <v>56</v>
      </c>
      <c r="N19">
        <v>47</v>
      </c>
      <c r="O19">
        <v>41</v>
      </c>
      <c r="P19">
        <v>54</v>
      </c>
      <c r="Q19">
        <v>47</v>
      </c>
      <c r="R19">
        <v>41</v>
      </c>
      <c r="S19">
        <v>52</v>
      </c>
      <c r="T19">
        <v>46</v>
      </c>
      <c r="U19">
        <v>41</v>
      </c>
      <c r="V19">
        <v>51</v>
      </c>
      <c r="W19">
        <v>45</v>
      </c>
      <c r="X19">
        <v>40</v>
      </c>
      <c r="Z19">
        <v>6</v>
      </c>
      <c r="AQ19">
        <v>6</v>
      </c>
    </row>
    <row r="20" spans="1:63" x14ac:dyDescent="0.25">
      <c r="I20">
        <v>7</v>
      </c>
      <c r="J20">
        <v>51</v>
      </c>
      <c r="K20">
        <v>43</v>
      </c>
      <c r="L20">
        <v>37</v>
      </c>
      <c r="M20">
        <v>51</v>
      </c>
      <c r="N20">
        <v>42</v>
      </c>
      <c r="O20">
        <v>36</v>
      </c>
      <c r="P20">
        <v>49</v>
      </c>
      <c r="Q20">
        <v>42</v>
      </c>
      <c r="R20">
        <v>36</v>
      </c>
      <c r="S20">
        <v>48</v>
      </c>
      <c r="T20">
        <v>41</v>
      </c>
      <c r="U20">
        <v>36</v>
      </c>
      <c r="V20">
        <v>46</v>
      </c>
      <c r="W20">
        <v>40</v>
      </c>
      <c r="X20">
        <v>36</v>
      </c>
      <c r="Z20">
        <v>7</v>
      </c>
      <c r="AQ20">
        <v>7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IF(ISNUMBER(SEARCH("FR",C21)),"Yes","No")</f>
        <v>No</v>
      </c>
      <c r="I21">
        <v>8</v>
      </c>
      <c r="J21">
        <v>47</v>
      </c>
      <c r="K21">
        <v>38</v>
      </c>
      <c r="L21">
        <v>33</v>
      </c>
      <c r="M21">
        <v>46</v>
      </c>
      <c r="N21">
        <v>38</v>
      </c>
      <c r="O21">
        <v>32</v>
      </c>
      <c r="P21">
        <v>45</v>
      </c>
      <c r="Q21">
        <v>38</v>
      </c>
      <c r="R21">
        <v>32</v>
      </c>
      <c r="S21">
        <v>44</v>
      </c>
      <c r="T21">
        <v>37</v>
      </c>
      <c r="U21">
        <v>32</v>
      </c>
      <c r="V21">
        <v>42</v>
      </c>
      <c r="W21">
        <v>36</v>
      </c>
      <c r="X21">
        <v>32</v>
      </c>
      <c r="Z21">
        <v>8</v>
      </c>
      <c r="AQ21">
        <v>8</v>
      </c>
    </row>
    <row r="22" spans="1:63" x14ac:dyDescent="0.25">
      <c r="B22" t="s">
        <v>30</v>
      </c>
      <c r="C22" s="4" t="e">
        <f>VLOOKUP(C21,Model523113[],2,0)</f>
        <v>#N/A</v>
      </c>
      <c r="D22" t="s">
        <v>131</v>
      </c>
      <c r="I22">
        <v>9</v>
      </c>
      <c r="J22">
        <v>43</v>
      </c>
      <c r="K22">
        <v>35</v>
      </c>
      <c r="L22">
        <v>29</v>
      </c>
      <c r="M22">
        <v>42</v>
      </c>
      <c r="N22">
        <v>35</v>
      </c>
      <c r="O22">
        <v>29</v>
      </c>
      <c r="P22">
        <v>41</v>
      </c>
      <c r="Q22">
        <v>34</v>
      </c>
      <c r="R22">
        <v>29</v>
      </c>
      <c r="S22">
        <v>40</v>
      </c>
      <c r="T22">
        <v>34</v>
      </c>
      <c r="U22">
        <v>29</v>
      </c>
      <c r="V22">
        <v>39</v>
      </c>
      <c r="W22">
        <v>33</v>
      </c>
      <c r="X22">
        <v>29</v>
      </c>
      <c r="Z22">
        <v>9</v>
      </c>
      <c r="AQ22">
        <v>9</v>
      </c>
    </row>
    <row r="23" spans="1:63" x14ac:dyDescent="0.25">
      <c r="B23" t="s">
        <v>31</v>
      </c>
      <c r="C23" t="e">
        <f>VLOOKUP(C21,Model523113[],3,FALSE)</f>
        <v>#N/A</v>
      </c>
      <c r="D23" t="s">
        <v>132</v>
      </c>
      <c r="I23">
        <v>10</v>
      </c>
      <c r="J23">
        <v>40</v>
      </c>
      <c r="K23">
        <v>32</v>
      </c>
      <c r="L23">
        <v>26</v>
      </c>
      <c r="M23">
        <v>39</v>
      </c>
      <c r="N23">
        <v>32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31</v>
      </c>
      <c r="U23">
        <v>26</v>
      </c>
      <c r="V23">
        <v>36</v>
      </c>
      <c r="W23">
        <v>30</v>
      </c>
      <c r="X23">
        <v>26</v>
      </c>
      <c r="Z23">
        <v>10</v>
      </c>
      <c r="AQ23">
        <v>10</v>
      </c>
    </row>
    <row r="24" spans="1:63" x14ac:dyDescent="0.25">
      <c r="B24" t="s">
        <v>3</v>
      </c>
      <c r="C24" s="11" t="e">
        <f t="array" ref="C24">INDEX(CUtable422112[],MATCH(1,(CUtable422112[RC]=C17)*(CUtable422112[RW]=C18)*(CUtable422112[FR]=E21),0),4)</f>
        <v>#DIV/0!</v>
      </c>
      <c r="H24" s="5"/>
    </row>
    <row r="25" spans="1:63" x14ac:dyDescent="0.25">
      <c r="B25" t="s">
        <v>133</v>
      </c>
      <c r="C25" s="11">
        <f>VLOOKUP(E21,Table8121727117[],2,FALSE)</f>
        <v>1.32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#VALUE!</v>
      </c>
      <c r="AB25" t="e">
        <f t="shared" si="1"/>
        <v>#VALUE!</v>
      </c>
      <c r="AC25" t="e">
        <f t="shared" si="1"/>
        <v>#VALUE!</v>
      </c>
      <c r="AD25" t="e">
        <f t="shared" si="1"/>
        <v>#VALUE!</v>
      </c>
      <c r="AE25" t="e">
        <f t="shared" si="1"/>
        <v>#VALUE!</v>
      </c>
      <c r="AF25" t="e">
        <f t="shared" si="1"/>
        <v>#VALUE!</v>
      </c>
      <c r="AG25" t="e">
        <f t="shared" si="1"/>
        <v>#VALUE!</v>
      </c>
      <c r="AH25" t="e">
        <f t="shared" si="1"/>
        <v>#VALUE!</v>
      </c>
      <c r="AI25" t="e">
        <f t="shared" si="1"/>
        <v>#VALUE!</v>
      </c>
      <c r="AJ25" t="e">
        <f t="shared" si="1"/>
        <v>#VALUE!</v>
      </c>
      <c r="AK25" t="e">
        <f t="shared" si="1"/>
        <v>#VALUE!</v>
      </c>
      <c r="AL25" t="e">
        <f t="shared" si="1"/>
        <v>#VALUE!</v>
      </c>
      <c r="AM25" t="e">
        <f t="shared" si="1"/>
        <v>#VALUE!</v>
      </c>
      <c r="AN25" t="e">
        <f t="shared" si="1"/>
        <v>#VALUE!</v>
      </c>
      <c r="AO25" t="e">
        <f t="shared" si="1"/>
        <v>#VALUE!</v>
      </c>
      <c r="AQ25" t="s">
        <v>217</v>
      </c>
      <c r="AR25" t="e">
        <f t="shared" ref="AR25:BF25" si="2">(AR26*AR30^3)+(AR27*AR30^2)+(AR28*AR30)+AR29</f>
        <v>#VALUE!</v>
      </c>
      <c r="AS25" t="e">
        <f t="shared" si="2"/>
        <v>#VALUE!</v>
      </c>
      <c r="AT25" t="e">
        <f t="shared" si="2"/>
        <v>#VALUE!</v>
      </c>
      <c r="AU25" t="e">
        <f t="shared" si="2"/>
        <v>#VALUE!</v>
      </c>
      <c r="AV25" t="e">
        <f t="shared" si="2"/>
        <v>#VALUE!</v>
      </c>
      <c r="AW25" t="e">
        <f t="shared" si="2"/>
        <v>#VALUE!</v>
      </c>
      <c r="AX25" t="e">
        <f t="shared" si="2"/>
        <v>#VALUE!</v>
      </c>
      <c r="AY25" t="e">
        <f t="shared" si="2"/>
        <v>#VALUE!</v>
      </c>
      <c r="AZ25" t="e">
        <f t="shared" si="2"/>
        <v>#VALUE!</v>
      </c>
      <c r="BA25" t="e">
        <f t="shared" si="2"/>
        <v>#VALUE!</v>
      </c>
      <c r="BB25" t="e">
        <f t="shared" si="2"/>
        <v>#VALUE!</v>
      </c>
      <c r="BC25" t="e">
        <f t="shared" si="2"/>
        <v>#VALUE!</v>
      </c>
      <c r="BD25" t="e">
        <f t="shared" si="2"/>
        <v>#VALUE!</v>
      </c>
      <c r="BE25" t="e">
        <f t="shared" si="2"/>
        <v>#VALUE!</v>
      </c>
      <c r="BF25" t="e">
        <f t="shared" si="2"/>
        <v>#VALUE!</v>
      </c>
    </row>
    <row r="26" spans="1:63" x14ac:dyDescent="0.25">
      <c r="B26" t="s">
        <v>134</v>
      </c>
      <c r="C26" s="11">
        <f>VLOOKUP(E21,Table8121727117[],3,FALSE)</f>
        <v>1.3</v>
      </c>
      <c r="H26" s="5"/>
      <c r="I26" t="s">
        <v>218</v>
      </c>
      <c r="J26">
        <f>INDEX(LINEST(TablePBL111[CU],TablePBL111[RCR]^{1,2,3}),1)</f>
        <v>-3.2439782439782357E-2</v>
      </c>
      <c r="K26">
        <f>INDEX(LINEST(TablePBL111[CU1],TablePBL111[RCR]^{1,2,3}),1)</f>
        <v>-6.1577311577311986E-2</v>
      </c>
      <c r="L26">
        <f>INDEX(LINEST(TablePBL111[CU2],TablePBL111[RCR]^{1,2,3}),1)</f>
        <v>-9.8484848484849064E-2</v>
      </c>
      <c r="M26">
        <f>INDEX(LINEST(TablePBL111[CU3],TablePBL111[RCR]^{1,2,3}),1)</f>
        <v>-3.1857031857032009E-2</v>
      </c>
      <c r="N26">
        <f>INDEX(LINEST(TablePBL111[CU4],TablePBL111[RCR]^{1,2,3}),1)</f>
        <v>-5.4972804972805385E-2</v>
      </c>
      <c r="O26">
        <f>INDEX(LINEST(TablePBL111[CU5],TablePBL111[RCR]^{1,2,3}),1)</f>
        <v>-8.3333333333333662E-2</v>
      </c>
      <c r="P26">
        <f>INDEX(LINEST(TablePBL111[CU6],TablePBL111[RCR]^{1,2,3}),1)</f>
        <v>-2.7777777777778165E-2</v>
      </c>
      <c r="Q26">
        <f>INDEX(LINEST(TablePBL111[CU7],TablePBL111[RCR]^{1,2,3}),1)</f>
        <v>-5.5361305361305457E-2</v>
      </c>
      <c r="R26">
        <f>INDEX(LINEST(TablePBL111[CU8],TablePBL111[RCR]^{1,2,3}),1)</f>
        <v>-7.3426573426574007E-2</v>
      </c>
      <c r="S26">
        <f>INDEX(LINEST(TablePBL111[CU9],TablePBL111[RCR]^{1,2,3}),1)</f>
        <v>-2.5446775446775764E-2</v>
      </c>
      <c r="T26">
        <f>INDEX(LINEST(TablePBL111[CU10],TablePBL111[RCR]^{1,2,3}),1)</f>
        <v>-4.2735042735043312E-2</v>
      </c>
      <c r="U26">
        <f>INDEX(LINEST(TablePBL111[CU11],TablePBL111[RCR]^{1,2,3}),1)</f>
        <v>-5.6526806526806854E-2</v>
      </c>
      <c r="V26">
        <f>INDEX(LINEST(TablePBL111[CU12],TablePBL111[RCR]^{1,2,3}),1)</f>
        <v>-2.1756021756022051E-2</v>
      </c>
      <c r="W26">
        <f>INDEX(LINEST(TablePBL111[CU13],TablePBL111[RCR]^{1,2,3}),1)</f>
        <v>-3.4576534576534965E-2</v>
      </c>
      <c r="X26">
        <f>INDEX(LINEST(TablePBL111[CU14],TablePBL111[RCR]^{1,2,3}),1)</f>
        <v>-4.8562548562548963E-2</v>
      </c>
      <c r="Z26" t="s">
        <v>218</v>
      </c>
      <c r="AA26" t="e">
        <f>INDEX(LINEST(TablePBLFR118[CU],TablePBLFR118[RCR]^{1,2,3}),1)</f>
        <v>#VALUE!</v>
      </c>
      <c r="AB26" t="e">
        <f>INDEX(LINEST(TablePBLFR118[CU1],TablePBLFR118[RCR]^{1,2,3}),1)</f>
        <v>#VALUE!</v>
      </c>
      <c r="AC26" t="e">
        <f>INDEX(LINEST(TablePBLFR118[CU2],TablePBLFR118[RCR]^{1,2,3}),1)</f>
        <v>#VALUE!</v>
      </c>
      <c r="AD26" t="e">
        <f>INDEX(LINEST(TablePBLFR118[CU3],TablePBLFR118[RCR]^{1,2,3}),1)</f>
        <v>#VALUE!</v>
      </c>
      <c r="AE26" t="e">
        <f>INDEX(LINEST(TablePBLFR118[CU4],TablePBLFR118[RCR]^{1,2,3}),1)</f>
        <v>#VALUE!</v>
      </c>
      <c r="AF26" t="e">
        <f>INDEX(LINEST(TablePBLFR118[CU5],TablePBLFR118[RCR]^{1,2,3}),1)</f>
        <v>#VALUE!</v>
      </c>
      <c r="AG26" t="e">
        <f>INDEX(LINEST(TablePBLFR118[CU6],TablePBLFR118[RCR]^{1,2,3}),1)</f>
        <v>#VALUE!</v>
      </c>
      <c r="AH26" t="e">
        <f>INDEX(LINEST(TablePBLFR118[CU7],TablePBLFR118[RCR]^{1,2,3}),1)</f>
        <v>#VALUE!</v>
      </c>
      <c r="AI26" t="e">
        <f>INDEX(LINEST(TablePBLFR118[CU8],TablePBLFR118[RCR]^{1,2,3}),1)</f>
        <v>#VALUE!</v>
      </c>
      <c r="AJ26" t="e">
        <f>INDEX(LINEST(TablePBLFR118[CU9],TablePBLFR118[RCR]^{1,2,3}),1)</f>
        <v>#VALUE!</v>
      </c>
      <c r="AK26" t="e">
        <f>INDEX(LINEST(TablePBLFR118[CU10],TablePBLFR118[RCR]^{1,2,3}),1)</f>
        <v>#VALUE!</v>
      </c>
      <c r="AL26" t="e">
        <f>INDEX(LINEST(TablePBLFR118[CU11],TablePBLFR118[RCR]^{1,2,3}),1)</f>
        <v>#VALUE!</v>
      </c>
      <c r="AM26" t="e">
        <f>INDEX(LINEST(TablePBLFR118[CU12],TablePBLFR118[RCR]^{1,2,3}),1)</f>
        <v>#VALUE!</v>
      </c>
      <c r="AN26" t="e">
        <f>INDEX(LINEST(TablePBLFR118[CU13],TablePBLFR118[RCR]^{1,2,3}),1)</f>
        <v>#VALUE!</v>
      </c>
      <c r="AO26" t="e">
        <f>INDEX(LINEST(TablePBLFR118[CU14],TablePBLFR118[RCR]^{1,2,3}),1)</f>
        <v>#VALUE!</v>
      </c>
      <c r="AQ26" t="s">
        <v>218</v>
      </c>
      <c r="AR26" t="e">
        <f>INDEX(LINEST(Table1x430120[CU],Table1x430120[RCR]^{1,2,3}),1)</f>
        <v>#VALUE!</v>
      </c>
      <c r="AS26" t="e">
        <f>INDEX(LINEST(Table1x430120[CU1],Table1x430120[RCR]^{1,2,3}),1)</f>
        <v>#VALUE!</v>
      </c>
      <c r="AT26" t="e">
        <f>INDEX(LINEST(Table1x430120[CU2],Table1x430120[RCR]^{1,2,3}),1)</f>
        <v>#VALUE!</v>
      </c>
      <c r="AU26" t="e">
        <f>INDEX(LINEST(Table1x430120[CU3],Table1x430120[RCR]^{1,2,3}),1)</f>
        <v>#VALUE!</v>
      </c>
      <c r="AV26" t="e">
        <f>INDEX(LINEST(Table1x430120[CU4],Table1x430120[RCR]^{1,2,3}),1)</f>
        <v>#VALUE!</v>
      </c>
      <c r="AW26" t="e">
        <f>INDEX(LINEST(Table1x430120[CU5],Table1x430120[RCR]^{1,2,3}),1)</f>
        <v>#VALUE!</v>
      </c>
      <c r="AX26" t="e">
        <f>INDEX(LINEST(Table1x430120[CU6],Table1x430120[RCR]^{1,2,3}),1)</f>
        <v>#VALUE!</v>
      </c>
      <c r="AY26" t="e">
        <f>INDEX(LINEST(Table1x430120[CU7],Table1x430120[RCR]^{1,2,3}),1)</f>
        <v>#VALUE!</v>
      </c>
      <c r="AZ26" t="e">
        <f>INDEX(LINEST(Table1x430120[CU8],Table1x430120[RCR]^{1,2,3}),1)</f>
        <v>#VALUE!</v>
      </c>
      <c r="BA26" t="e">
        <f>INDEX(LINEST(Table1x430120[CU9],Table1x430120[RCR]^{1,2,3}),1)</f>
        <v>#VALUE!</v>
      </c>
      <c r="BB26" t="e">
        <f>INDEX(LINEST(Table1x430120[CU10],Table1x430120[RCR]^{1,2,3}),1)</f>
        <v>#VALUE!</v>
      </c>
      <c r="BC26" t="e">
        <f>INDEX(LINEST(Table1x430120[CU11],Table1x430120[RCR]^{1,2,3}),1)</f>
        <v>#VALUE!</v>
      </c>
      <c r="BD26" t="e">
        <f>INDEX(LINEST(Table1x430120[CU12],Table1x430120[RCR]^{1,2,3}),1)</f>
        <v>#VALUE!</v>
      </c>
      <c r="BE26" t="e">
        <f>INDEX(LINEST(Table1x430120[CU13],Table1x430120[RCR]^{1,2,3}),1)</f>
        <v>#VALUE!</v>
      </c>
      <c r="BF26" t="e">
        <f>INDEX(LINEST(Table1x430120[CU14],Table1x430120[RCR]^{1,2,3}),1)</f>
        <v>#VALUE!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INDEX(LINEST(TablePBL111[CU],TablePBL111[RCR]^{1,2,3}),1,2)</f>
        <v>1.1474358974358956</v>
      </c>
      <c r="K27">
        <f>INDEX(LINEST(TablePBL111[CU1],TablePBL111[RCR]^{1,2,3}),1,2)</f>
        <v>1.7837995337995391</v>
      </c>
      <c r="L27">
        <f>INDEX(LINEST(TablePBL111[CU2],TablePBL111[RCR]^{1,2,3}),1,2)</f>
        <v>2.4551282051282137</v>
      </c>
      <c r="M27">
        <f>INDEX(LINEST(TablePBL111[CU3],TablePBL111[RCR]^{1,2,3}),1,2)</f>
        <v>1.0839160839160851</v>
      </c>
      <c r="N27">
        <f>INDEX(LINEST(TablePBL111[CU4],TablePBL111[RCR]^{1,2,3}),1,2)</f>
        <v>1.6555944055944112</v>
      </c>
      <c r="O27">
        <f>INDEX(LINEST(TablePBL111[CU5],TablePBL111[RCR]^{1,2,3}),1,2)</f>
        <v>2.2103729603729638</v>
      </c>
      <c r="P27">
        <f>INDEX(LINEST(TablePBL111[CU6],TablePBL111[RCR]^{1,2,3}),1,2)</f>
        <v>0.99825174825175367</v>
      </c>
      <c r="Q27">
        <f>INDEX(LINEST(TablePBL111[CU7],TablePBL111[RCR]^{1,2,3}),1,2)</f>
        <v>1.5600233100233101</v>
      </c>
      <c r="R27">
        <f>INDEX(LINEST(TablePBL111[CU8],TablePBL111[RCR]^{1,2,3}),1,2)</f>
        <v>1.9731934731934819</v>
      </c>
      <c r="S27">
        <f>INDEX(LINEST(TablePBL111[CU9],TablePBL111[RCR]^{1,2,3}),1,2)</f>
        <v>0.92132867132867602</v>
      </c>
      <c r="T27">
        <f>INDEX(LINEST(TablePBL111[CU10],TablePBL111[RCR]^{1,2,3}),1,2)</f>
        <v>1.3205128205128291</v>
      </c>
      <c r="U27">
        <f>INDEX(LINEST(TablePBL111[CU11],TablePBL111[RCR]^{1,2,3}),1,2)</f>
        <v>1.6311188811188861</v>
      </c>
      <c r="V27">
        <f>INDEX(LINEST(TablePBL111[CU12],TablePBL111[RCR]^{1,2,3}),1,2)</f>
        <v>0.84615384615385081</v>
      </c>
      <c r="W27">
        <f>INDEX(LINEST(TablePBL111[CU13],TablePBL111[RCR]^{1,2,3}),1,2)</f>
        <v>1.1550116550116598</v>
      </c>
      <c r="X27">
        <f>INDEX(LINEST(TablePBL111[CU14],TablePBL111[RCR]^{1,2,3}),1,2)</f>
        <v>1.4580419580419635</v>
      </c>
      <c r="Z27" t="s">
        <v>219</v>
      </c>
      <c r="AA27" t="e">
        <f>INDEX(LINEST(TablePBLFR118[CU],TablePBLFR118[RCR]^{1,2,3}),1,2)</f>
        <v>#VALUE!</v>
      </c>
      <c r="AB27" t="e">
        <f>INDEX(LINEST(TablePBLFR118[CU1],TablePBLFR118[RCR]^{1,2,3}),1,2)</f>
        <v>#VALUE!</v>
      </c>
      <c r="AC27" t="e">
        <f>INDEX(LINEST(TablePBLFR118[CU2],TablePBLFR118[RCR]^{1,2,3}),1,2)</f>
        <v>#VALUE!</v>
      </c>
      <c r="AD27" t="e">
        <f>INDEX(LINEST(TablePBLFR118[CU3],TablePBLFR118[RCR]^{1,2,3}),1,2)</f>
        <v>#VALUE!</v>
      </c>
      <c r="AE27" t="e">
        <f>INDEX(LINEST(TablePBLFR118[CU4],TablePBLFR118[RCR]^{1,2,3}),1,2)</f>
        <v>#VALUE!</v>
      </c>
      <c r="AF27" t="e">
        <f>INDEX(LINEST(TablePBLFR118[CU5],TablePBLFR118[RCR]^{1,2,3}),1,2)</f>
        <v>#VALUE!</v>
      </c>
      <c r="AG27" t="e">
        <f>INDEX(LINEST(TablePBLFR118[CU6],TablePBLFR118[RCR]^{1,2,3}),1,2)</f>
        <v>#VALUE!</v>
      </c>
      <c r="AH27" t="e">
        <f>INDEX(LINEST(TablePBLFR118[CU7],TablePBLFR118[RCR]^{1,2,3}),1,2)</f>
        <v>#VALUE!</v>
      </c>
      <c r="AI27" t="e">
        <f>INDEX(LINEST(TablePBLFR118[CU8],TablePBLFR118[RCR]^{1,2,3}),1,2)</f>
        <v>#VALUE!</v>
      </c>
      <c r="AJ27" t="e">
        <f>INDEX(LINEST(TablePBLFR118[CU9],TablePBLFR118[RCR]^{1,2,3}),1,2)</f>
        <v>#VALUE!</v>
      </c>
      <c r="AK27" t="e">
        <f>INDEX(LINEST(TablePBLFR118[CU10],TablePBLFR118[RCR]^{1,2,3}),1,2)</f>
        <v>#VALUE!</v>
      </c>
      <c r="AL27" t="e">
        <f>INDEX(LINEST(TablePBLFR118[CU11],TablePBLFR118[RCR]^{1,2,3}),1,2)</f>
        <v>#VALUE!</v>
      </c>
      <c r="AM27" t="e">
        <f>INDEX(LINEST(TablePBLFR118[CU12],TablePBLFR118[RCR]^{1,2,3}),1,2)</f>
        <v>#VALUE!</v>
      </c>
      <c r="AN27" t="e">
        <f>INDEX(LINEST(TablePBLFR118[CU13],TablePBLFR118[RCR]^{1,2,3}),1,2)</f>
        <v>#VALUE!</v>
      </c>
      <c r="AO27" t="e">
        <f>INDEX(LINEST(TablePBLFR118[CU14],TablePBLFR118[RCR]^{1,2,3}),1,2)</f>
        <v>#VALUE!</v>
      </c>
      <c r="AQ27" t="s">
        <v>219</v>
      </c>
      <c r="AR27" t="e">
        <f>INDEX(LINEST(Table1x430120[CU],Table1x430120[RCR]^{1,2,3}),1,2)</f>
        <v>#VALUE!</v>
      </c>
      <c r="AS27" t="e">
        <f>INDEX(LINEST(Table1x430120[CU1],Table1x430120[RCR]^{1,2,3}),1,2)</f>
        <v>#VALUE!</v>
      </c>
      <c r="AT27" t="e">
        <f>INDEX(LINEST(Table1x430120[CU2],Table1x430120[RCR]^{1,2,3}),1,2)</f>
        <v>#VALUE!</v>
      </c>
      <c r="AU27" t="e">
        <f>INDEX(LINEST(Table1x430120[CU3],Table1x430120[RCR]^{1,2,3}),1,2)</f>
        <v>#VALUE!</v>
      </c>
      <c r="AV27" t="e">
        <f>INDEX(LINEST(Table1x430120[CU4],Table1x430120[RCR]^{1,2,3}),1,2)</f>
        <v>#VALUE!</v>
      </c>
      <c r="AW27" t="e">
        <f>INDEX(LINEST(Table1x430120[CU5],Table1x430120[RCR]^{1,2,3}),1,2)</f>
        <v>#VALUE!</v>
      </c>
      <c r="AX27" t="e">
        <f>INDEX(LINEST(Table1x430120[CU6],Table1x430120[RCR]^{1,2,3}),1,2)</f>
        <v>#VALUE!</v>
      </c>
      <c r="AY27" t="e">
        <f>INDEX(LINEST(Table1x430120[CU7],Table1x430120[RCR]^{1,2,3}),1,2)</f>
        <v>#VALUE!</v>
      </c>
      <c r="AZ27" t="e">
        <f>INDEX(LINEST(Table1x430120[CU8],Table1x430120[RCR]^{1,2,3}),1,2)</f>
        <v>#VALUE!</v>
      </c>
      <c r="BA27" t="e">
        <f>INDEX(LINEST(Table1x430120[CU9],Table1x430120[RCR]^{1,2,3}),1,2)</f>
        <v>#VALUE!</v>
      </c>
      <c r="BB27" t="e">
        <f>INDEX(LINEST(Table1x430120[CU10],Table1x430120[RCR]^{1,2,3}),1,2)</f>
        <v>#VALUE!</v>
      </c>
      <c r="BC27" t="e">
        <f>INDEX(LINEST(Table1x430120[CU11],Table1x430120[RCR]^{1,2,3}),1,2)</f>
        <v>#VALUE!</v>
      </c>
      <c r="BD27" t="e">
        <f>INDEX(LINEST(Table1x430120[CU12],Table1x430120[RCR]^{1,2,3}),1,2)</f>
        <v>#VALUE!</v>
      </c>
      <c r="BE27" t="e">
        <f>INDEX(LINEST(Table1x430120[CU13],Table1x430120[RCR]^{1,2,3}),1,2)</f>
        <v>#VALUE!</v>
      </c>
      <c r="BF27" t="e">
        <f>INDEX(LINEST(Table1x430120[CU14],Table1x430120[RCR]^{1,2,3}),1,2)</f>
        <v>#VALUE!</v>
      </c>
    </row>
    <row r="28" spans="1:63" x14ac:dyDescent="0.25">
      <c r="C28" s="3"/>
      <c r="H28" s="5"/>
      <c r="I28" t="s">
        <v>220</v>
      </c>
      <c r="J28">
        <f t="array" ref="J28">INDEX(LINEST(TablePBL111[CU],TablePBL111[RCR]^{1,2,3}),1,3)</f>
        <v>-16.163947163947149</v>
      </c>
      <c r="K28">
        <f>INDEX(LINEST(TablePBL111[CU1],TablePBL111[RCR]^{1,2,3}),1,3)</f>
        <v>-20.414529914529929</v>
      </c>
      <c r="L28">
        <f>INDEX(LINEST(TablePBL111[CU2],TablePBL111[RCR]^{1,2,3}),1,3)</f>
        <v>-24.020979020979052</v>
      </c>
      <c r="M28">
        <f>INDEX(LINEST(TablePBL111[CU3],TablePBL111[RCR]^{1,2,3}),1,3)</f>
        <v>-15.373737373737368</v>
      </c>
      <c r="N28">
        <f>INDEX(LINEST(TablePBL111[CU4],TablePBL111[RCR]^{1,2,3}),1,3)</f>
        <v>-19.481740481740498</v>
      </c>
      <c r="O28">
        <f>INDEX(LINEST(TablePBL111[CU5],TablePBL111[RCR]^{1,2,3}),1,3)</f>
        <v>-22.770396270396272</v>
      </c>
      <c r="P28">
        <f>INDEX(LINEST(TablePBL111[CU6],TablePBL111[RCR]^{1,2,3}),1,3)</f>
        <v>-14.522921522921539</v>
      </c>
      <c r="Q28">
        <f>INDEX(LINEST(TablePBL111[CU7],TablePBL111[RCR]^{1,2,3}),1,3)</f>
        <v>-18.099067599067588</v>
      </c>
      <c r="R28">
        <f>INDEX(LINEST(TablePBL111[CU8],TablePBL111[RCR]^{1,2,3}),1,3)</f>
        <v>-20.899766899766931</v>
      </c>
      <c r="S28">
        <f>INDEX(LINEST(TablePBL111[CU9],TablePBL111[RCR]^{1,2,3}),1,3)</f>
        <v>-13.588189588189605</v>
      </c>
      <c r="T28">
        <f>INDEX(LINEST(TablePBL111[CU10],TablePBL111[RCR]^{1,2,3}),1,3)</f>
        <v>-16.466588966588997</v>
      </c>
      <c r="U28">
        <f>INDEX(LINEST(TablePBL111[CU11],TablePBL111[RCR]^{1,2,3}),1,3)</f>
        <v>-18.665501165501183</v>
      </c>
      <c r="V28">
        <f>INDEX(LINEST(TablePBL111[CU12],TablePBL111[RCR]^{1,2,3}),1,3)</f>
        <v>-12.915306915306935</v>
      </c>
      <c r="W28">
        <f>INDEX(LINEST(TablePBL111[CU13],TablePBL111[RCR]^{1,2,3}),1,3)</f>
        <v>-15.323232323232332</v>
      </c>
      <c r="X28">
        <f>INDEX(LINEST(TablePBL111[CU14],TablePBL111[RCR]^{1,2,3}),1,3)</f>
        <v>-17.346542346542364</v>
      </c>
      <c r="Z28" t="s">
        <v>220</v>
      </c>
      <c r="AA28" t="e">
        <f>INDEX(LINEST(TablePBLFR118[CU],TablePBLFR118[RCR]^{1,2,3}),1,3)</f>
        <v>#VALUE!</v>
      </c>
      <c r="AB28" t="e">
        <f>INDEX(LINEST(TablePBLFR118[CU1],TablePBLFR118[RCR]^{1,2,3}),1,3)</f>
        <v>#VALUE!</v>
      </c>
      <c r="AC28" t="e">
        <f>INDEX(LINEST(TablePBLFR118[CU2],TablePBLFR118[RCR]^{1,2,3}),1,3)</f>
        <v>#VALUE!</v>
      </c>
      <c r="AD28" t="e">
        <f>INDEX(LINEST(TablePBLFR118[CU3],TablePBLFR118[RCR]^{1,2,3}),1,3)</f>
        <v>#VALUE!</v>
      </c>
      <c r="AE28" t="e">
        <f>INDEX(LINEST(TablePBLFR118[CU4],TablePBLFR118[RCR]^{1,2,3}),1,3)</f>
        <v>#VALUE!</v>
      </c>
      <c r="AF28" t="e">
        <f>INDEX(LINEST(TablePBLFR118[CU5],TablePBLFR118[RCR]^{1,2,3}),1,3)</f>
        <v>#VALUE!</v>
      </c>
      <c r="AG28" t="e">
        <f>INDEX(LINEST(TablePBLFR118[CU6],TablePBLFR118[RCR]^{1,2,3}),1,3)</f>
        <v>#VALUE!</v>
      </c>
      <c r="AH28" t="e">
        <f>INDEX(LINEST(TablePBLFR118[CU7],TablePBLFR118[RCR]^{1,2,3}),1,3)</f>
        <v>#VALUE!</v>
      </c>
      <c r="AI28" t="e">
        <f>INDEX(LINEST(TablePBLFR118[CU8],TablePBLFR118[RCR]^{1,2,3}),1,3)</f>
        <v>#VALUE!</v>
      </c>
      <c r="AJ28" t="e">
        <f>INDEX(LINEST(TablePBLFR118[CU9],TablePBLFR118[RCR]^{1,2,3}),1,3)</f>
        <v>#VALUE!</v>
      </c>
      <c r="AK28" t="e">
        <f>INDEX(LINEST(TablePBLFR118[CU10],TablePBLFR118[RCR]^{1,2,3}),1,3)</f>
        <v>#VALUE!</v>
      </c>
      <c r="AL28" t="e">
        <f>INDEX(LINEST(TablePBLFR118[CU11],TablePBLFR118[RCR]^{1,2,3}),1,3)</f>
        <v>#VALUE!</v>
      </c>
      <c r="AM28" t="e">
        <f>INDEX(LINEST(TablePBLFR118[CU12],TablePBLFR118[RCR]^{1,2,3}),1,3)</f>
        <v>#VALUE!</v>
      </c>
      <c r="AN28" t="e">
        <f>INDEX(LINEST(TablePBLFR118[CU13],TablePBLFR118[RCR]^{1,2,3}),1,3)</f>
        <v>#VALUE!</v>
      </c>
      <c r="AO28" t="e">
        <f>INDEX(LINEST(TablePBLFR118[CU14],TablePBLFR118[RCR]^{1,2,3}),1,3)</f>
        <v>#VALUE!</v>
      </c>
      <c r="AQ28" t="s">
        <v>220</v>
      </c>
      <c r="AR28" t="e">
        <f>INDEX(LINEST(Table1x430120[CU],Table1x430120[RCR]^{1,2,3}),1,3)</f>
        <v>#VALUE!</v>
      </c>
      <c r="AS28" t="e">
        <f>INDEX(LINEST(Table1x430120[CU1],Table1x430120[RCR]^{1,2,3}),1,3)</f>
        <v>#VALUE!</v>
      </c>
      <c r="AT28" t="e">
        <f>INDEX(LINEST(Table1x430120[CU2],Table1x430120[RCR]^{1,2,3}),1,3)</f>
        <v>#VALUE!</v>
      </c>
      <c r="AU28" t="e">
        <f>INDEX(LINEST(Table1x430120[CU3],Table1x430120[RCR]^{1,2,3}),1,3)</f>
        <v>#VALUE!</v>
      </c>
      <c r="AV28" t="e">
        <f>INDEX(LINEST(Table1x430120[CU4],Table1x430120[RCR]^{1,2,3}),1,3)</f>
        <v>#VALUE!</v>
      </c>
      <c r="AW28" t="e">
        <f>INDEX(LINEST(Table1x430120[CU5],Table1x430120[RCR]^{1,2,3}),1,3)</f>
        <v>#VALUE!</v>
      </c>
      <c r="AX28" t="e">
        <f>INDEX(LINEST(Table1x430120[CU6],Table1x430120[RCR]^{1,2,3}),1,3)</f>
        <v>#VALUE!</v>
      </c>
      <c r="AY28" t="e">
        <f>INDEX(LINEST(Table1x430120[CU7],Table1x430120[RCR]^{1,2,3}),1,3)</f>
        <v>#VALUE!</v>
      </c>
      <c r="AZ28" t="e">
        <f>INDEX(LINEST(Table1x430120[CU8],Table1x430120[RCR]^{1,2,3}),1,3)</f>
        <v>#VALUE!</v>
      </c>
      <c r="BA28" t="e">
        <f>INDEX(LINEST(Table1x430120[CU9],Table1x430120[RCR]^{1,2,3}),1,3)</f>
        <v>#VALUE!</v>
      </c>
      <c r="BB28" t="e">
        <f>INDEX(LINEST(Table1x430120[CU10],Table1x430120[RCR]^{1,2,3}),1,3)</f>
        <v>#VALUE!</v>
      </c>
      <c r="BC28" t="e">
        <f>INDEX(LINEST(Table1x430120[CU11],Table1x430120[RCR]^{1,2,3}),1,3)</f>
        <v>#VALUE!</v>
      </c>
      <c r="BD28" t="e">
        <f>INDEX(LINEST(Table1x430120[CU12],Table1x430120[RCR]^{1,2,3}),1,3)</f>
        <v>#VALUE!</v>
      </c>
      <c r="BE28" t="e">
        <f>INDEX(LINEST(Table1x430120[CU13],Table1x430120[RCR]^{1,2,3}),1,3)</f>
        <v>#VALUE!</v>
      </c>
      <c r="BF28" t="e">
        <f>INDEX(LINEST(Table1x430120[CU14],Table1x430120[RCR]^{1,2,3}),1,3)</f>
        <v>#VALUE!</v>
      </c>
    </row>
    <row r="29" spans="1:63" x14ac:dyDescent="0.25">
      <c r="C29" s="3"/>
      <c r="H29" s="5"/>
      <c r="I29" t="s">
        <v>221</v>
      </c>
      <c r="J29">
        <f>INDEX(LINEST(TablePBL111[CU],TablePBL111[RCR]^{1,2,3}),1,4)</f>
        <v>119.30769230769228</v>
      </c>
      <c r="K29">
        <f>INDEX(LINEST(TablePBL111[CU1],TablePBL111[RCR]^{1,2,3}),1,4)</f>
        <v>119.20979020979021</v>
      </c>
      <c r="L29">
        <f>INDEX(LINEST(TablePBL111[CU2],TablePBL111[RCR]^{1,2,3}),1,4)</f>
        <v>118.71328671328672</v>
      </c>
      <c r="M29">
        <f>INDEX(LINEST(TablePBL111[CU3],TablePBL111[RCR]^{1,2,3}),1,4)</f>
        <v>116.05594405594404</v>
      </c>
      <c r="N29">
        <f>INDEX(LINEST(TablePBL111[CU4],TablePBL111[RCR]^{1,2,3}),1,4)</f>
        <v>116.21678321678323</v>
      </c>
      <c r="O29">
        <f>INDEX(LINEST(TablePBL111[CU5],TablePBL111[RCR]^{1,2,3}),1,4)</f>
        <v>115.76923076923075</v>
      </c>
      <c r="P29">
        <f>INDEX(LINEST(TablePBL111[CU6],TablePBL111[RCR]^{1,2,3}),1,4)</f>
        <v>111.22377622377624</v>
      </c>
      <c r="Q29">
        <f>INDEX(LINEST(TablePBL111[CU7],TablePBL111[RCR]^{1,2,3}),1,4)</f>
        <v>111.20979020979019</v>
      </c>
      <c r="R29">
        <f>INDEX(LINEST(TablePBL111[CU8],TablePBL111[RCR]^{1,2,3}),1,4)</f>
        <v>110.90209790209791</v>
      </c>
      <c r="S29">
        <f>INDEX(LINEST(TablePBL111[CU9],TablePBL111[RCR]^{1,2,3}),1,4)</f>
        <v>106.32867132867133</v>
      </c>
      <c r="T29">
        <f>INDEX(LINEST(TablePBL111[CU10],TablePBL111[RCR]^{1,2,3}),1,4)</f>
        <v>106.32167832167833</v>
      </c>
      <c r="U29">
        <f>INDEX(LINEST(TablePBL111[CU11],TablePBL111[RCR]^{1,2,3}),1,4)</f>
        <v>106.05594405594405</v>
      </c>
      <c r="V29">
        <f>INDEX(LINEST(TablePBL111[CU12],TablePBL111[RCR]^{1,2,3}),1,4)</f>
        <v>102.39860139860141</v>
      </c>
      <c r="W29">
        <f>INDEX(LINEST(TablePBL111[CU13],TablePBL111[RCR]^{1,2,3}),1,4)</f>
        <v>102.4265734265734</v>
      </c>
      <c r="X29">
        <f>INDEX(LINEST(TablePBL111[CU14],TablePBL111[RCR]^{1,2,3}),1,4)</f>
        <v>102.32867132867133</v>
      </c>
      <c r="Z29" t="s">
        <v>221</v>
      </c>
      <c r="AA29" t="e">
        <f>INDEX(LINEST(TablePBLFR118[CU],TablePBLFR118[RCR]^{1,2,3}),1,4)</f>
        <v>#VALUE!</v>
      </c>
      <c r="AB29" t="e">
        <f>INDEX(LINEST(TablePBLFR118[CU1],TablePBLFR118[RCR]^{1,2,3}),1,4)</f>
        <v>#VALUE!</v>
      </c>
      <c r="AC29" t="e">
        <f>INDEX(LINEST(TablePBLFR118[CU2],TablePBLFR118[RCR]^{1,2,3}),1,4)</f>
        <v>#VALUE!</v>
      </c>
      <c r="AD29" t="e">
        <f>INDEX(LINEST(TablePBLFR118[CU3],TablePBLFR118[RCR]^{1,2,3}),1,4)</f>
        <v>#VALUE!</v>
      </c>
      <c r="AE29" t="e">
        <f>INDEX(LINEST(TablePBLFR118[CU4],TablePBLFR118[RCR]^{1,2,3}),1,4)</f>
        <v>#VALUE!</v>
      </c>
      <c r="AF29" t="e">
        <f>INDEX(LINEST(TablePBLFR118[CU5],TablePBLFR118[RCR]^{1,2,3}),1,4)</f>
        <v>#VALUE!</v>
      </c>
      <c r="AG29" t="e">
        <f>INDEX(LINEST(TablePBLFR118[CU6],TablePBLFR118[RCR]^{1,2,3}),1,4)</f>
        <v>#VALUE!</v>
      </c>
      <c r="AH29" t="e">
        <f>INDEX(LINEST(TablePBLFR118[CU7],TablePBLFR118[RCR]^{1,2,3}),1,4)</f>
        <v>#VALUE!</v>
      </c>
      <c r="AI29" t="e">
        <f>INDEX(LINEST(TablePBLFR118[CU8],TablePBLFR118[RCR]^{1,2,3}),1,4)</f>
        <v>#VALUE!</v>
      </c>
      <c r="AJ29" t="e">
        <f>INDEX(LINEST(TablePBLFR118[CU9],TablePBLFR118[RCR]^{1,2,3}),1,4)</f>
        <v>#VALUE!</v>
      </c>
      <c r="AK29" t="e">
        <f>INDEX(LINEST(TablePBLFR118[CU10],TablePBLFR118[RCR]^{1,2,3}),1,4)</f>
        <v>#VALUE!</v>
      </c>
      <c r="AL29" t="e">
        <f>INDEX(LINEST(TablePBLFR118[CU11],TablePBLFR118[RCR]^{1,2,3}),1,4)</f>
        <v>#VALUE!</v>
      </c>
      <c r="AM29" t="e">
        <f>INDEX(LINEST(TablePBLFR118[CU12],TablePBLFR118[RCR]^{1,2,3}),1,4)</f>
        <v>#VALUE!</v>
      </c>
      <c r="AN29" t="e">
        <f>INDEX(LINEST(TablePBLFR118[CU13],TablePBLFR118[RCR]^{1,2,3}),1,4)</f>
        <v>#VALUE!</v>
      </c>
      <c r="AO29" t="e">
        <f>INDEX(LINEST(TablePBLFR118[CU14],TablePBLFR118[RCR]^{1,2,3}),1,4)</f>
        <v>#VALUE!</v>
      </c>
      <c r="AQ29" t="s">
        <v>221</v>
      </c>
      <c r="AR29" t="e">
        <f>INDEX(LINEST(Table1x430120[CU],Table1x430120[RCR]^{1,2,3}),1,4)</f>
        <v>#VALUE!</v>
      </c>
      <c r="AS29" t="e">
        <f>INDEX(LINEST(Table1x430120[CU1],Table1x430120[RCR]^{1,2,3}),1,4)</f>
        <v>#VALUE!</v>
      </c>
      <c r="AT29" t="e">
        <f>INDEX(LINEST(Table1x430120[CU2],Table1x430120[RCR]^{1,2,3}),1,4)</f>
        <v>#VALUE!</v>
      </c>
      <c r="AU29" t="e">
        <f>INDEX(LINEST(Table1x430120[CU3],Table1x430120[RCR]^{1,2,3}),1,4)</f>
        <v>#VALUE!</v>
      </c>
      <c r="AV29" t="e">
        <f>INDEX(LINEST(Table1x430120[CU4],Table1x430120[RCR]^{1,2,3}),1,4)</f>
        <v>#VALUE!</v>
      </c>
      <c r="AW29" t="e">
        <f>INDEX(LINEST(Table1x430120[CU5],Table1x430120[RCR]^{1,2,3}),1,4)</f>
        <v>#VALUE!</v>
      </c>
      <c r="AX29" t="e">
        <f>INDEX(LINEST(Table1x430120[CU6],Table1x430120[RCR]^{1,2,3}),1,4)</f>
        <v>#VALUE!</v>
      </c>
      <c r="AY29" t="e">
        <f>INDEX(LINEST(Table1x430120[CU7],Table1x430120[RCR]^{1,2,3}),1,4)</f>
        <v>#VALUE!</v>
      </c>
      <c r="AZ29" t="e">
        <f>INDEX(LINEST(Table1x430120[CU8],Table1x430120[RCR]^{1,2,3}),1,4)</f>
        <v>#VALUE!</v>
      </c>
      <c r="BA29" t="e">
        <f>INDEX(LINEST(Table1x430120[CU9],Table1x430120[RCR]^{1,2,3}),1,4)</f>
        <v>#VALUE!</v>
      </c>
      <c r="BB29" t="e">
        <f>INDEX(LINEST(Table1x430120[CU10],Table1x430120[RCR]^{1,2,3}),1,4)</f>
        <v>#VALUE!</v>
      </c>
      <c r="BC29" t="e">
        <f>INDEX(LINEST(Table1x430120[CU11],Table1x430120[RCR]^{1,2,3}),1,4)</f>
        <v>#VALUE!</v>
      </c>
      <c r="BD29" t="e">
        <f>INDEX(LINEST(Table1x430120[CU12],Table1x430120[RCR]^{1,2,3}),1,4)</f>
        <v>#VALUE!</v>
      </c>
      <c r="BE29" t="e">
        <f>INDEX(LINEST(Table1x430120[CU13],Table1x430120[RCR]^{1,2,3}),1,4)</f>
        <v>#VALUE!</v>
      </c>
      <c r="BF29" t="e">
        <f>INDEX(LINEST(Table1x430120[CU14],Table1x430120[RCR]^{1,2,3}),1,4)</f>
        <v>#VALUE!</v>
      </c>
    </row>
    <row r="30" spans="1:63" x14ac:dyDescent="0.25">
      <c r="A30" s="26" t="s">
        <v>126</v>
      </c>
      <c r="B30" s="26"/>
      <c r="C30" s="35"/>
      <c r="D30" s="26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114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116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116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116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116</v>
      </c>
      <c r="L36" t="e">
        <f>M25</f>
        <v>#DIV/0!</v>
      </c>
    </row>
    <row r="37" spans="1:63" x14ac:dyDescent="0.25">
      <c r="A37" s="26" t="s">
        <v>127</v>
      </c>
      <c r="B37" s="30"/>
      <c r="C37" s="31"/>
      <c r="D37" s="30"/>
      <c r="H37" t="s">
        <v>19</v>
      </c>
      <c r="I37">
        <v>70</v>
      </c>
      <c r="J37">
        <v>30</v>
      </c>
      <c r="K37" t="s">
        <v>116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116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116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116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116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116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116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1.3</v>
      </c>
      <c r="F44" s="12">
        <f>E44*(C14-C15)</f>
        <v>-3.25</v>
      </c>
      <c r="H44" t="s">
        <v>25</v>
      </c>
      <c r="I44">
        <v>30</v>
      </c>
      <c r="J44">
        <v>10</v>
      </c>
      <c r="K44" t="s">
        <v>116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1.32</v>
      </c>
      <c r="F45" s="12">
        <f>E45*(C14-C15)</f>
        <v>-3.3000000000000003</v>
      </c>
      <c r="H45" t="s">
        <v>27</v>
      </c>
      <c r="I45">
        <v>10</v>
      </c>
      <c r="J45">
        <v>50</v>
      </c>
      <c r="K45" t="s">
        <v>116</v>
      </c>
      <c r="L45" t="e">
        <f>V25</f>
        <v>#DIV/0!</v>
      </c>
    </row>
    <row r="46" spans="1:63" x14ac:dyDescent="0.25">
      <c r="B46" t="s">
        <v>1346</v>
      </c>
      <c r="C46" s="1" t="e">
        <f>IF(C39=1,C9/2,C44/2)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116</v>
      </c>
      <c r="L46" t="e">
        <f>W25</f>
        <v>#DIV/0!</v>
      </c>
    </row>
    <row r="47" spans="1:63" x14ac:dyDescent="0.25">
      <c r="B47" t="s">
        <v>1347</v>
      </c>
      <c r="C47" s="1" t="e">
        <f>IF(C40=1,C10/2,C45/2)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116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 t="s">
        <v>115</v>
      </c>
      <c r="L48" t="e">
        <f>AA25</f>
        <v>#VALUE!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115</v>
      </c>
      <c r="L49" t="e">
        <f>AB25</f>
        <v>#VALUE!</v>
      </c>
    </row>
    <row r="50" spans="1:12" ht="15" customHeight="1" x14ac:dyDescent="0.25">
      <c r="H50" t="s">
        <v>17</v>
      </c>
      <c r="I50">
        <v>80</v>
      </c>
      <c r="J50">
        <v>10</v>
      </c>
      <c r="K50" t="s">
        <v>115</v>
      </c>
      <c r="L50" t="e">
        <f>AC25</f>
        <v>#VALUE!</v>
      </c>
    </row>
    <row r="51" spans="1:12" x14ac:dyDescent="0.25">
      <c r="H51" t="s">
        <v>18</v>
      </c>
      <c r="I51">
        <v>70</v>
      </c>
      <c r="J51">
        <v>50</v>
      </c>
      <c r="K51" t="s">
        <v>115</v>
      </c>
      <c r="L51" t="e">
        <f>AD25</f>
        <v>#VALUE!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115</v>
      </c>
      <c r="L52" t="e">
        <f>AE25</f>
        <v>#VALUE!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115</v>
      </c>
      <c r="L53" t="e">
        <f>AF25</f>
        <v>#VALUE!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115</v>
      </c>
      <c r="L54" t="e">
        <f>AG25</f>
        <v>#VALUE!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115</v>
      </c>
      <c r="L55" t="e">
        <f>AH25</f>
        <v>#VALUE!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115</v>
      </c>
      <c r="L56" t="e">
        <f>AI25</f>
        <v>#VALUE!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115</v>
      </c>
      <c r="L57" t="e">
        <f>AJ25</f>
        <v>#VALUE!</v>
      </c>
    </row>
    <row r="58" spans="1:12" x14ac:dyDescent="0.25">
      <c r="H58" t="s">
        <v>26</v>
      </c>
      <c r="I58">
        <v>30</v>
      </c>
      <c r="J58">
        <v>30</v>
      </c>
      <c r="K58" t="s">
        <v>115</v>
      </c>
      <c r="L58" t="e">
        <f>AK25</f>
        <v>#VALUE!</v>
      </c>
    </row>
    <row r="59" spans="1:12" x14ac:dyDescent="0.25">
      <c r="H59" t="s">
        <v>25</v>
      </c>
      <c r="I59">
        <v>30</v>
      </c>
      <c r="J59">
        <v>10</v>
      </c>
      <c r="K59" t="s">
        <v>115</v>
      </c>
      <c r="L59" t="e">
        <f>AL25</f>
        <v>#VALUE!</v>
      </c>
    </row>
    <row r="60" spans="1:12" x14ac:dyDescent="0.25">
      <c r="H60" t="s">
        <v>27</v>
      </c>
      <c r="I60">
        <v>10</v>
      </c>
      <c r="J60">
        <v>50</v>
      </c>
      <c r="K60" t="s">
        <v>115</v>
      </c>
      <c r="L60" t="e">
        <f>AM25</f>
        <v>#VALUE!</v>
      </c>
    </row>
    <row r="61" spans="1:12" x14ac:dyDescent="0.25">
      <c r="H61" t="s">
        <v>28</v>
      </c>
      <c r="I61">
        <v>10</v>
      </c>
      <c r="J61">
        <v>30</v>
      </c>
      <c r="K61" t="s">
        <v>115</v>
      </c>
      <c r="L61" t="e">
        <f>AN25</f>
        <v>#VALUE!</v>
      </c>
    </row>
    <row r="62" spans="1:12" x14ac:dyDescent="0.25">
      <c r="H62" t="s">
        <v>29</v>
      </c>
      <c r="I62">
        <v>10</v>
      </c>
      <c r="J62">
        <v>10</v>
      </c>
      <c r="K62" t="s">
        <v>115</v>
      </c>
      <c r="L62" t="e">
        <f>AO25</f>
        <v>#VALUE!</v>
      </c>
    </row>
    <row r="63" spans="1:12" x14ac:dyDescent="0.25">
      <c r="H63" t="s">
        <v>13</v>
      </c>
      <c r="I63">
        <v>80</v>
      </c>
      <c r="J63">
        <v>50</v>
      </c>
      <c r="L63" t="e">
        <f>AR25</f>
        <v>#VALUE!</v>
      </c>
    </row>
    <row r="64" spans="1:12" x14ac:dyDescent="0.25">
      <c r="H64" t="s">
        <v>16</v>
      </c>
      <c r="I64">
        <v>80</v>
      </c>
      <c r="J64">
        <v>30</v>
      </c>
      <c r="L64" t="e">
        <f>AS25</f>
        <v>#VALUE!</v>
      </c>
    </row>
    <row r="65" spans="8:12" x14ac:dyDescent="0.25">
      <c r="H65" t="s">
        <v>17</v>
      </c>
      <c r="I65">
        <v>80</v>
      </c>
      <c r="J65">
        <v>10</v>
      </c>
      <c r="L65" t="e">
        <f>AT25</f>
        <v>#VALUE!</v>
      </c>
    </row>
    <row r="66" spans="8:12" x14ac:dyDescent="0.25">
      <c r="H66" t="s">
        <v>18</v>
      </c>
      <c r="I66">
        <v>70</v>
      </c>
      <c r="J66">
        <v>50</v>
      </c>
      <c r="L66" t="e">
        <f>AU25</f>
        <v>#VALUE!</v>
      </c>
    </row>
    <row r="67" spans="8:12" x14ac:dyDescent="0.25">
      <c r="H67" t="s">
        <v>19</v>
      </c>
      <c r="I67">
        <v>70</v>
      </c>
      <c r="J67">
        <v>30</v>
      </c>
      <c r="L67" t="e">
        <f>AV25</f>
        <v>#VALUE!</v>
      </c>
    </row>
    <row r="68" spans="8:12" x14ac:dyDescent="0.25">
      <c r="H68" t="s">
        <v>20</v>
      </c>
      <c r="I68">
        <v>70</v>
      </c>
      <c r="J68">
        <v>10</v>
      </c>
      <c r="L68" t="e">
        <f>AW25</f>
        <v>#VALUE!</v>
      </c>
    </row>
    <row r="69" spans="8:12" x14ac:dyDescent="0.25">
      <c r="H69" t="s">
        <v>21</v>
      </c>
      <c r="I69">
        <v>50</v>
      </c>
      <c r="J69">
        <v>50</v>
      </c>
      <c r="L69" t="e">
        <f>AX25</f>
        <v>#VALUE!</v>
      </c>
    </row>
    <row r="70" spans="8:12" x14ac:dyDescent="0.25">
      <c r="H70" t="s">
        <v>22</v>
      </c>
      <c r="I70">
        <v>50</v>
      </c>
      <c r="J70">
        <v>30</v>
      </c>
      <c r="L70" t="e">
        <f>AY25</f>
        <v>#VALUE!</v>
      </c>
    </row>
    <row r="71" spans="8:12" x14ac:dyDescent="0.25">
      <c r="H71" t="s">
        <v>23</v>
      </c>
      <c r="I71">
        <v>50</v>
      </c>
      <c r="J71">
        <v>10</v>
      </c>
      <c r="L71" t="e">
        <f>AZ25</f>
        <v>#VALUE!</v>
      </c>
    </row>
    <row r="72" spans="8:12" x14ac:dyDescent="0.25">
      <c r="H72" t="s">
        <v>24</v>
      </c>
      <c r="I72">
        <v>30</v>
      </c>
      <c r="J72">
        <v>50</v>
      </c>
      <c r="L72" t="e">
        <f>BA25</f>
        <v>#VALUE!</v>
      </c>
    </row>
    <row r="73" spans="8:12" x14ac:dyDescent="0.25">
      <c r="H73" t="s">
        <v>26</v>
      </c>
      <c r="I73">
        <v>30</v>
      </c>
      <c r="J73">
        <v>30</v>
      </c>
      <c r="L73" t="e">
        <f>BB25</f>
        <v>#VALUE!</v>
      </c>
    </row>
    <row r="74" spans="8:12" x14ac:dyDescent="0.25">
      <c r="H74" t="s">
        <v>25</v>
      </c>
      <c r="I74">
        <v>30</v>
      </c>
      <c r="J74">
        <v>10</v>
      </c>
      <c r="L74" t="e">
        <f>BC25</f>
        <v>#VALUE!</v>
      </c>
    </row>
    <row r="75" spans="8:12" x14ac:dyDescent="0.25">
      <c r="H75" t="s">
        <v>27</v>
      </c>
      <c r="I75">
        <v>10</v>
      </c>
      <c r="J75">
        <v>50</v>
      </c>
      <c r="L75" t="e">
        <f>BD25</f>
        <v>#VALUE!</v>
      </c>
    </row>
    <row r="76" spans="8:12" x14ac:dyDescent="0.25">
      <c r="H76" t="s">
        <v>28</v>
      </c>
      <c r="I76">
        <v>10</v>
      </c>
      <c r="J76">
        <v>30</v>
      </c>
      <c r="L76" t="e">
        <f>BE25</f>
        <v>#VALUE!</v>
      </c>
    </row>
    <row r="77" spans="8:12" x14ac:dyDescent="0.25">
      <c r="H77" t="s">
        <v>29</v>
      </c>
      <c r="I77">
        <v>10</v>
      </c>
      <c r="J77">
        <v>10</v>
      </c>
      <c r="L77" t="e">
        <f>BF25</f>
        <v>#VALUE!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804</v>
      </c>
      <c r="J81">
        <v>8621</v>
      </c>
      <c r="K81">
        <v>68</v>
      </c>
    </row>
    <row r="82" spans="9:22" x14ac:dyDescent="0.25">
      <c r="I82" t="s">
        <v>805</v>
      </c>
      <c r="J82">
        <v>10866</v>
      </c>
      <c r="K82">
        <v>80</v>
      </c>
    </row>
    <row r="83" spans="9:22" x14ac:dyDescent="0.25">
      <c r="I83" t="s">
        <v>806</v>
      </c>
      <c r="J83">
        <v>13145</v>
      </c>
      <c r="K83">
        <v>104</v>
      </c>
    </row>
    <row r="84" spans="9:22" x14ac:dyDescent="0.25">
      <c r="I84" t="s">
        <v>807</v>
      </c>
      <c r="J84">
        <v>8888</v>
      </c>
      <c r="K84">
        <v>68</v>
      </c>
    </row>
    <row r="85" spans="9:22" x14ac:dyDescent="0.25">
      <c r="I85" t="s">
        <v>808</v>
      </c>
      <c r="J85">
        <v>11202</v>
      </c>
      <c r="K85">
        <v>80</v>
      </c>
    </row>
    <row r="86" spans="9:22" x14ac:dyDescent="0.25">
      <c r="I86" t="s">
        <v>809</v>
      </c>
      <c r="J86">
        <v>13551</v>
      </c>
      <c r="K86">
        <v>104</v>
      </c>
    </row>
    <row r="87" spans="9:22" x14ac:dyDescent="0.25">
      <c r="I87" t="s">
        <v>810</v>
      </c>
      <c r="J87">
        <v>9155</v>
      </c>
      <c r="K87">
        <v>68</v>
      </c>
      <c r="N87" t="s">
        <v>11</v>
      </c>
      <c r="O87" t="s">
        <v>12</v>
      </c>
      <c r="P87" t="s">
        <v>15</v>
      </c>
      <c r="R87" t="s">
        <v>114</v>
      </c>
      <c r="S87" t="s">
        <v>135</v>
      </c>
      <c r="T87" t="s">
        <v>136</v>
      </c>
      <c r="V87" t="s">
        <v>138</v>
      </c>
    </row>
    <row r="88" spans="9:22" x14ac:dyDescent="0.25">
      <c r="I88" t="s">
        <v>811</v>
      </c>
      <c r="J88">
        <v>11538</v>
      </c>
      <c r="K88">
        <v>80</v>
      </c>
      <c r="N88">
        <v>80</v>
      </c>
      <c r="O88">
        <v>50</v>
      </c>
      <c r="P88">
        <v>20</v>
      </c>
      <c r="R88" t="s">
        <v>115</v>
      </c>
      <c r="V88">
        <v>0</v>
      </c>
    </row>
    <row r="89" spans="9:22" x14ac:dyDescent="0.25">
      <c r="I89" t="s">
        <v>812</v>
      </c>
      <c r="J89">
        <v>13958</v>
      </c>
      <c r="K89">
        <v>104</v>
      </c>
      <c r="N89">
        <v>70</v>
      </c>
      <c r="O89">
        <v>30</v>
      </c>
      <c r="R89" t="s">
        <v>116</v>
      </c>
      <c r="S89" s="11">
        <v>1.32</v>
      </c>
      <c r="T89">
        <v>1.3</v>
      </c>
      <c r="V89">
        <v>90</v>
      </c>
    </row>
    <row r="90" spans="9:22" x14ac:dyDescent="0.25">
      <c r="N90">
        <v>50</v>
      </c>
      <c r="O90">
        <v>10</v>
      </c>
    </row>
    <row r="91" spans="9:22" x14ac:dyDescent="0.25">
      <c r="N91">
        <v>30</v>
      </c>
    </row>
    <row r="92" spans="9:22" x14ac:dyDescent="0.25">
      <c r="N92">
        <v>10</v>
      </c>
    </row>
  </sheetData>
  <sheetProtection algorithmName="SHA-512" hashValue="jxK1wrH1ZNZrPucq2UT9Robx/QLocWSM2WCc76z88LvChG+qP9GM1VgRyz/9p3Dm9gn7cdanlxA9MRAZuvX6qQ==" saltValue="Xw93WpqEC1MCeO99jR8Ybw==" spinCount="100000" sheet="1" selectLockedCells="1"/>
  <mergeCells count="4">
    <mergeCell ref="BI6:BK6"/>
    <mergeCell ref="BI5:BK5"/>
    <mergeCell ref="BI7:BK7"/>
    <mergeCell ref="A52:D55"/>
  </mergeCells>
  <conditionalFormatting sqref="C44">
    <cfRule type="cellIs" dxfId="202" priority="2" operator="greaterThan">
      <formula>$F$44</formula>
    </cfRule>
  </conditionalFormatting>
  <conditionalFormatting sqref="C45">
    <cfRule type="cellIs" dxfId="201" priority="1" operator="greaterThan">
      <formula>$F$45</formula>
    </cfRule>
  </conditionalFormatting>
  <dataValidations count="4">
    <dataValidation type="list" allowBlank="1" showInputMessage="1" showErrorMessage="1" sqref="C43" xr:uid="{5A999C53-CF68-4360-A095-AFD8B4783908}">
      <formula1>$V$88:$V$89</formula1>
    </dataValidation>
    <dataValidation type="list" allowBlank="1" showInputMessage="1" showErrorMessage="1" sqref="C18" xr:uid="{DB3B21D4-5F5A-4DFB-A0EA-8167F9BD67AF}">
      <formula1>$O$88:$O$90</formula1>
    </dataValidation>
    <dataValidation type="list" allowBlank="1" showInputMessage="1" showErrorMessage="1" sqref="C17" xr:uid="{A5A895CF-2A40-4EBD-87D5-4659FE4925D5}">
      <formula1>$N$88:$N$92</formula1>
    </dataValidation>
    <dataValidation type="list" allowBlank="1" showInputMessage="1" showErrorMessage="1" sqref="C21" xr:uid="{E895D115-0DC7-4391-B452-A287AC43E21D}">
      <formula1>$I$81:$I$89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F742C-A8CD-453D-B3EC-6DE4A910F189}">
  <sheetPr>
    <pageSetUpPr fitToPage="1"/>
  </sheetPr>
  <dimension ref="A5:BK107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5703125" customWidth="1"/>
    <col min="3" max="3" width="25.57031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764</v>
      </c>
      <c r="BH7" s="5" t="s">
        <v>1345</v>
      </c>
      <c r="BI7" s="37"/>
      <c r="BJ7" s="37"/>
      <c r="BK7" s="37"/>
    </row>
    <row r="9" spans="1:63" x14ac:dyDescent="0.25">
      <c r="I9" s="6" t="s">
        <v>725</v>
      </c>
      <c r="Z9" s="2" t="s">
        <v>726</v>
      </c>
      <c r="AQ9" s="2" t="s">
        <v>727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118</v>
      </c>
      <c r="K13">
        <v>118</v>
      </c>
      <c r="L13">
        <v>118</v>
      </c>
      <c r="M13">
        <v>115</v>
      </c>
      <c r="N13">
        <v>115</v>
      </c>
      <c r="O13">
        <v>115</v>
      </c>
      <c r="P13">
        <v>110</v>
      </c>
      <c r="Q13">
        <v>110</v>
      </c>
      <c r="R13">
        <v>110</v>
      </c>
      <c r="S13">
        <v>104</v>
      </c>
      <c r="T13">
        <v>104</v>
      </c>
      <c r="U13">
        <v>104</v>
      </c>
      <c r="V13">
        <v>100</v>
      </c>
      <c r="W13">
        <v>100</v>
      </c>
      <c r="X13">
        <v>100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110</v>
      </c>
      <c r="AH13">
        <v>110</v>
      </c>
      <c r="AI13">
        <v>110</v>
      </c>
      <c r="AJ13">
        <v>106</v>
      </c>
      <c r="AK13">
        <v>106</v>
      </c>
      <c r="AL13">
        <v>106</v>
      </c>
      <c r="AM13">
        <v>101</v>
      </c>
      <c r="AN13">
        <v>101</v>
      </c>
      <c r="AO13">
        <v>101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110</v>
      </c>
      <c r="AY13">
        <v>110</v>
      </c>
      <c r="AZ13">
        <v>110</v>
      </c>
      <c r="BA13">
        <v>106</v>
      </c>
      <c r="BB13">
        <v>106</v>
      </c>
      <c r="BC13">
        <v>106</v>
      </c>
      <c r="BD13">
        <v>101</v>
      </c>
      <c r="BE13">
        <v>101</v>
      </c>
      <c r="BF13">
        <v>101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102</v>
      </c>
      <c r="K14">
        <v>98</v>
      </c>
      <c r="L14">
        <v>94</v>
      </c>
      <c r="M14">
        <v>100</v>
      </c>
      <c r="N14">
        <v>96</v>
      </c>
      <c r="O14">
        <v>92</v>
      </c>
      <c r="P14">
        <v>95</v>
      </c>
      <c r="Q14">
        <v>92</v>
      </c>
      <c r="R14">
        <v>89</v>
      </c>
      <c r="S14">
        <v>91</v>
      </c>
      <c r="T14">
        <v>88</v>
      </c>
      <c r="U14">
        <v>85</v>
      </c>
      <c r="V14">
        <v>87</v>
      </c>
      <c r="W14">
        <v>84</v>
      </c>
      <c r="X14">
        <v>82</v>
      </c>
      <c r="Z14">
        <v>1</v>
      </c>
      <c r="AA14">
        <v>104</v>
      </c>
      <c r="AB14">
        <v>99</v>
      </c>
      <c r="AC14">
        <v>95</v>
      </c>
      <c r="AD14">
        <v>101</v>
      </c>
      <c r="AE14">
        <v>97</v>
      </c>
      <c r="AF14">
        <v>94</v>
      </c>
      <c r="AG14">
        <v>97</v>
      </c>
      <c r="AH14">
        <v>93</v>
      </c>
      <c r="AI14">
        <v>90</v>
      </c>
      <c r="AJ14">
        <v>93</v>
      </c>
      <c r="AK14">
        <v>90</v>
      </c>
      <c r="AL14">
        <v>87</v>
      </c>
      <c r="AM14">
        <v>89</v>
      </c>
      <c r="AN14">
        <v>87</v>
      </c>
      <c r="AO14">
        <v>85</v>
      </c>
      <c r="AQ14">
        <v>1</v>
      </c>
      <c r="AR14">
        <v>104</v>
      </c>
      <c r="AS14">
        <v>99</v>
      </c>
      <c r="AT14">
        <v>95</v>
      </c>
      <c r="AU14">
        <v>101</v>
      </c>
      <c r="AV14">
        <v>97</v>
      </c>
      <c r="AW14">
        <v>94</v>
      </c>
      <c r="AX14">
        <v>97</v>
      </c>
      <c r="AY14">
        <v>93</v>
      </c>
      <c r="AZ14">
        <v>90</v>
      </c>
      <c r="BA14">
        <v>93</v>
      </c>
      <c r="BB14">
        <v>90</v>
      </c>
      <c r="BC14">
        <v>88</v>
      </c>
      <c r="BD14">
        <v>89</v>
      </c>
      <c r="BE14">
        <v>87</v>
      </c>
      <c r="BF14">
        <v>85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89</v>
      </c>
      <c r="K15">
        <v>82</v>
      </c>
      <c r="L15">
        <v>76</v>
      </c>
      <c r="M15">
        <v>87</v>
      </c>
      <c r="N15">
        <v>80</v>
      </c>
      <c r="O15">
        <v>75</v>
      </c>
      <c r="P15">
        <v>83</v>
      </c>
      <c r="Q15">
        <v>77</v>
      </c>
      <c r="R15">
        <v>73</v>
      </c>
      <c r="S15">
        <v>79</v>
      </c>
      <c r="T15">
        <v>75</v>
      </c>
      <c r="U15">
        <v>71</v>
      </c>
      <c r="V15">
        <v>76</v>
      </c>
      <c r="W15">
        <v>72</v>
      </c>
      <c r="X15">
        <v>69</v>
      </c>
      <c r="Z15">
        <v>2</v>
      </c>
      <c r="AA15">
        <v>90</v>
      </c>
      <c r="AB15">
        <v>83</v>
      </c>
      <c r="AC15">
        <v>77</v>
      </c>
      <c r="AD15">
        <v>88</v>
      </c>
      <c r="AE15">
        <v>82</v>
      </c>
      <c r="AF15">
        <v>76</v>
      </c>
      <c r="AG15">
        <v>84</v>
      </c>
      <c r="AH15">
        <v>79</v>
      </c>
      <c r="AI15">
        <v>74</v>
      </c>
      <c r="AJ15">
        <v>81</v>
      </c>
      <c r="AK15">
        <v>76</v>
      </c>
      <c r="AL15">
        <v>72</v>
      </c>
      <c r="AM15">
        <v>78</v>
      </c>
      <c r="AN15">
        <v>74</v>
      </c>
      <c r="AO15">
        <v>71</v>
      </c>
      <c r="AQ15">
        <v>2</v>
      </c>
      <c r="AR15">
        <v>90</v>
      </c>
      <c r="AS15">
        <v>83</v>
      </c>
      <c r="AT15">
        <v>77</v>
      </c>
      <c r="AU15">
        <v>88</v>
      </c>
      <c r="AV15">
        <v>82</v>
      </c>
      <c r="AW15">
        <v>76</v>
      </c>
      <c r="AX15">
        <v>84</v>
      </c>
      <c r="AY15">
        <v>79</v>
      </c>
      <c r="AZ15">
        <v>74</v>
      </c>
      <c r="BA15">
        <v>81</v>
      </c>
      <c r="BB15">
        <v>76</v>
      </c>
      <c r="BC15">
        <v>72</v>
      </c>
      <c r="BD15">
        <v>78</v>
      </c>
      <c r="BE15">
        <v>74</v>
      </c>
      <c r="BF15">
        <v>71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78</v>
      </c>
      <c r="K16">
        <v>70</v>
      </c>
      <c r="L16">
        <v>63</v>
      </c>
      <c r="M16">
        <v>76</v>
      </c>
      <c r="N16">
        <v>69</v>
      </c>
      <c r="O16">
        <v>62</v>
      </c>
      <c r="P16">
        <v>73</v>
      </c>
      <c r="Q16">
        <v>66</v>
      </c>
      <c r="R16">
        <v>61</v>
      </c>
      <c r="S16">
        <v>70</v>
      </c>
      <c r="T16">
        <v>64</v>
      </c>
      <c r="U16">
        <v>59</v>
      </c>
      <c r="V16">
        <v>67</v>
      </c>
      <c r="W16">
        <v>62</v>
      </c>
      <c r="X16">
        <v>58</v>
      </c>
      <c r="Z16">
        <v>3</v>
      </c>
      <c r="AA16">
        <v>79</v>
      </c>
      <c r="AB16">
        <v>70</v>
      </c>
      <c r="AC16">
        <v>64</v>
      </c>
      <c r="AD16">
        <v>77</v>
      </c>
      <c r="AE16">
        <v>69</v>
      </c>
      <c r="AF16">
        <v>63</v>
      </c>
      <c r="AG16">
        <v>74</v>
      </c>
      <c r="AH16">
        <v>67</v>
      </c>
      <c r="AI16">
        <v>62</v>
      </c>
      <c r="AJ16">
        <v>71</v>
      </c>
      <c r="AK16">
        <v>65</v>
      </c>
      <c r="AL16">
        <v>61</v>
      </c>
      <c r="AM16">
        <v>68</v>
      </c>
      <c r="AN16">
        <v>64</v>
      </c>
      <c r="AO16">
        <v>60</v>
      </c>
      <c r="AQ16">
        <v>3</v>
      </c>
      <c r="AR16">
        <v>79</v>
      </c>
      <c r="AS16">
        <v>71</v>
      </c>
      <c r="AT16">
        <v>64</v>
      </c>
      <c r="AU16">
        <v>77</v>
      </c>
      <c r="AV16">
        <v>70</v>
      </c>
      <c r="AW16">
        <v>63</v>
      </c>
      <c r="AX16">
        <v>74</v>
      </c>
      <c r="AY16">
        <v>67</v>
      </c>
      <c r="AZ16">
        <v>62</v>
      </c>
      <c r="BA16">
        <v>71</v>
      </c>
      <c r="BB16">
        <v>66</v>
      </c>
      <c r="BC16">
        <v>61</v>
      </c>
      <c r="BD16">
        <v>68</v>
      </c>
      <c r="BE16">
        <v>64</v>
      </c>
      <c r="BF16">
        <v>60</v>
      </c>
    </row>
    <row r="17" spans="1:63" x14ac:dyDescent="0.25">
      <c r="B17" t="s">
        <v>5</v>
      </c>
      <c r="C17" s="22">
        <v>70</v>
      </c>
      <c r="I17">
        <v>4</v>
      </c>
      <c r="J17">
        <v>69</v>
      </c>
      <c r="K17">
        <v>60</v>
      </c>
      <c r="L17">
        <v>53</v>
      </c>
      <c r="M17">
        <v>68</v>
      </c>
      <c r="N17">
        <v>59</v>
      </c>
      <c r="O17">
        <v>53</v>
      </c>
      <c r="P17">
        <v>65</v>
      </c>
      <c r="Q17">
        <v>58</v>
      </c>
      <c r="R17">
        <v>52</v>
      </c>
      <c r="S17">
        <v>62</v>
      </c>
      <c r="T17">
        <v>56</v>
      </c>
      <c r="U17">
        <v>51</v>
      </c>
      <c r="V17">
        <v>60</v>
      </c>
      <c r="W17">
        <v>54</v>
      </c>
      <c r="X17">
        <v>50</v>
      </c>
      <c r="Z17">
        <v>4</v>
      </c>
      <c r="AA17">
        <v>70</v>
      </c>
      <c r="AB17">
        <v>61</v>
      </c>
      <c r="AC17">
        <v>54</v>
      </c>
      <c r="AD17">
        <v>68</v>
      </c>
      <c r="AE17">
        <v>60</v>
      </c>
      <c r="AF17">
        <v>53</v>
      </c>
      <c r="AG17">
        <v>66</v>
      </c>
      <c r="AH17">
        <v>58</v>
      </c>
      <c r="AI17">
        <v>53</v>
      </c>
      <c r="AJ17">
        <v>63</v>
      </c>
      <c r="AK17">
        <v>57</v>
      </c>
      <c r="AL17">
        <v>52</v>
      </c>
      <c r="AM17">
        <v>61</v>
      </c>
      <c r="AN17">
        <v>55</v>
      </c>
      <c r="AO17">
        <v>51</v>
      </c>
      <c r="AQ17">
        <v>4</v>
      </c>
      <c r="AR17">
        <v>70</v>
      </c>
      <c r="AS17">
        <v>61</v>
      </c>
      <c r="AT17">
        <v>54</v>
      </c>
      <c r="AU17">
        <v>68</v>
      </c>
      <c r="AV17">
        <v>60</v>
      </c>
      <c r="AW17">
        <v>54</v>
      </c>
      <c r="AX17">
        <v>66</v>
      </c>
      <c r="AY17">
        <v>58</v>
      </c>
      <c r="AZ17">
        <v>53</v>
      </c>
      <c r="BA17">
        <v>63</v>
      </c>
      <c r="BB17">
        <v>57</v>
      </c>
      <c r="BC17">
        <v>52</v>
      </c>
      <c r="BD17">
        <v>61</v>
      </c>
      <c r="BE17">
        <v>55</v>
      </c>
      <c r="BF17">
        <v>51</v>
      </c>
    </row>
    <row r="18" spans="1:63" x14ac:dyDescent="0.25">
      <c r="B18" t="s">
        <v>6</v>
      </c>
      <c r="C18" s="22">
        <v>30</v>
      </c>
      <c r="I18">
        <v>5</v>
      </c>
      <c r="J18">
        <v>62</v>
      </c>
      <c r="K18">
        <v>53</v>
      </c>
      <c r="L18">
        <v>46</v>
      </c>
      <c r="M18">
        <v>60</v>
      </c>
      <c r="N18">
        <v>52</v>
      </c>
      <c r="O18">
        <v>46</v>
      </c>
      <c r="P18">
        <v>58</v>
      </c>
      <c r="Q18">
        <v>51</v>
      </c>
      <c r="R18">
        <v>45</v>
      </c>
      <c r="S18">
        <v>56</v>
      </c>
      <c r="T18">
        <v>49</v>
      </c>
      <c r="U18">
        <v>44</v>
      </c>
      <c r="V18">
        <v>54</v>
      </c>
      <c r="W18">
        <v>48</v>
      </c>
      <c r="X18">
        <v>43</v>
      </c>
      <c r="Z18">
        <v>5</v>
      </c>
      <c r="AA18">
        <v>62</v>
      </c>
      <c r="AB18">
        <v>53</v>
      </c>
      <c r="AC18">
        <v>46</v>
      </c>
      <c r="AD18">
        <v>61</v>
      </c>
      <c r="AE18">
        <v>52</v>
      </c>
      <c r="AF18">
        <v>46</v>
      </c>
      <c r="AG18">
        <v>59</v>
      </c>
      <c r="AH18">
        <v>51</v>
      </c>
      <c r="AI18">
        <v>45</v>
      </c>
      <c r="AJ18">
        <v>56</v>
      </c>
      <c r="AK18">
        <v>50</v>
      </c>
      <c r="AL18">
        <v>45</v>
      </c>
      <c r="AM18">
        <v>54</v>
      </c>
      <c r="AN18">
        <v>49</v>
      </c>
      <c r="AO18">
        <v>44</v>
      </c>
      <c r="AQ18">
        <v>5</v>
      </c>
      <c r="AR18">
        <v>62</v>
      </c>
      <c r="AS18">
        <v>53</v>
      </c>
      <c r="AT18">
        <v>46</v>
      </c>
      <c r="AU18">
        <v>61</v>
      </c>
      <c r="AV18">
        <v>52</v>
      </c>
      <c r="AW18">
        <v>46</v>
      </c>
      <c r="AX18">
        <v>59</v>
      </c>
      <c r="AY18">
        <v>51</v>
      </c>
      <c r="AZ18">
        <v>45</v>
      </c>
      <c r="BA18">
        <v>57</v>
      </c>
      <c r="BB18">
        <v>50</v>
      </c>
      <c r="BC18">
        <v>45</v>
      </c>
      <c r="BD18">
        <v>55</v>
      </c>
      <c r="BE18">
        <v>49</v>
      </c>
      <c r="BF18">
        <v>44</v>
      </c>
    </row>
    <row r="19" spans="1:63" x14ac:dyDescent="0.25">
      <c r="B19" t="s">
        <v>7</v>
      </c>
      <c r="C19">
        <v>20</v>
      </c>
      <c r="I19">
        <v>6</v>
      </c>
      <c r="J19">
        <v>56</v>
      </c>
      <c r="K19">
        <v>47</v>
      </c>
      <c r="L19">
        <v>40</v>
      </c>
      <c r="M19">
        <v>54</v>
      </c>
      <c r="N19">
        <v>46</v>
      </c>
      <c r="O19">
        <v>40</v>
      </c>
      <c r="P19">
        <v>52</v>
      </c>
      <c r="Q19">
        <v>45</v>
      </c>
      <c r="R19">
        <v>39</v>
      </c>
      <c r="S19">
        <v>50</v>
      </c>
      <c r="T19">
        <v>44</v>
      </c>
      <c r="U19">
        <v>39</v>
      </c>
      <c r="V19">
        <v>49</v>
      </c>
      <c r="W19">
        <v>43</v>
      </c>
      <c r="X19">
        <v>38</v>
      </c>
      <c r="Z19">
        <v>6</v>
      </c>
      <c r="AA19">
        <v>56</v>
      </c>
      <c r="AB19">
        <v>47</v>
      </c>
      <c r="AC19">
        <v>40</v>
      </c>
      <c r="AD19">
        <v>55</v>
      </c>
      <c r="AE19">
        <v>46</v>
      </c>
      <c r="AF19">
        <v>40</v>
      </c>
      <c r="AG19">
        <v>53</v>
      </c>
      <c r="AH19">
        <v>45</v>
      </c>
      <c r="AI19">
        <v>40</v>
      </c>
      <c r="AJ19">
        <v>51</v>
      </c>
      <c r="AK19">
        <v>44</v>
      </c>
      <c r="AL19">
        <v>39</v>
      </c>
      <c r="AM19">
        <v>49</v>
      </c>
      <c r="AN19">
        <v>43</v>
      </c>
      <c r="AO19">
        <v>39</v>
      </c>
      <c r="AQ19">
        <v>6</v>
      </c>
      <c r="AR19">
        <v>56</v>
      </c>
      <c r="AS19">
        <v>47</v>
      </c>
      <c r="AT19">
        <v>40</v>
      </c>
      <c r="AU19">
        <v>55</v>
      </c>
      <c r="AV19">
        <v>46</v>
      </c>
      <c r="AW19">
        <v>40</v>
      </c>
      <c r="AX19">
        <v>53</v>
      </c>
      <c r="AY19">
        <v>45</v>
      </c>
      <c r="AZ19">
        <v>40</v>
      </c>
      <c r="BA19">
        <v>51</v>
      </c>
      <c r="BB19">
        <v>44</v>
      </c>
      <c r="BC19">
        <v>39</v>
      </c>
      <c r="BD19">
        <v>49</v>
      </c>
      <c r="BE19">
        <v>43</v>
      </c>
      <c r="BF19">
        <v>39</v>
      </c>
    </row>
    <row r="20" spans="1:63" x14ac:dyDescent="0.25">
      <c r="I20">
        <v>7</v>
      </c>
      <c r="J20">
        <v>50</v>
      </c>
      <c r="K20">
        <v>42</v>
      </c>
      <c r="L20">
        <v>35</v>
      </c>
      <c r="M20">
        <v>49</v>
      </c>
      <c r="N20">
        <v>41</v>
      </c>
      <c r="O20">
        <v>35</v>
      </c>
      <c r="P20">
        <v>48</v>
      </c>
      <c r="Q20">
        <v>40</v>
      </c>
      <c r="R20">
        <v>35</v>
      </c>
      <c r="S20">
        <v>46</v>
      </c>
      <c r="T20">
        <v>39</v>
      </c>
      <c r="U20">
        <v>34</v>
      </c>
      <c r="V20">
        <v>44</v>
      </c>
      <c r="W20">
        <v>38</v>
      </c>
      <c r="X20">
        <v>34</v>
      </c>
      <c r="Z20">
        <v>7</v>
      </c>
      <c r="AA20">
        <v>50</v>
      </c>
      <c r="AB20">
        <v>42</v>
      </c>
      <c r="AC20">
        <v>35</v>
      </c>
      <c r="AD20">
        <v>50</v>
      </c>
      <c r="AE20">
        <v>41</v>
      </c>
      <c r="AF20">
        <v>35</v>
      </c>
      <c r="AG20">
        <v>48</v>
      </c>
      <c r="AH20">
        <v>40</v>
      </c>
      <c r="AI20">
        <v>35</v>
      </c>
      <c r="AJ20">
        <v>46</v>
      </c>
      <c r="AK20">
        <v>40</v>
      </c>
      <c r="AL20">
        <v>35</v>
      </c>
      <c r="AM20">
        <v>45</v>
      </c>
      <c r="AN20">
        <v>39</v>
      </c>
      <c r="AO20">
        <v>34</v>
      </c>
      <c r="AQ20">
        <v>7</v>
      </c>
      <c r="AR20">
        <v>51</v>
      </c>
      <c r="AS20">
        <v>42</v>
      </c>
      <c r="AT20">
        <v>35</v>
      </c>
      <c r="AU20">
        <v>50</v>
      </c>
      <c r="AV20">
        <v>41</v>
      </c>
      <c r="AW20">
        <v>35</v>
      </c>
      <c r="AX20">
        <v>48</v>
      </c>
      <c r="AY20">
        <v>40</v>
      </c>
      <c r="AZ20">
        <v>35</v>
      </c>
      <c r="BA20">
        <v>46</v>
      </c>
      <c r="BB20">
        <v>40</v>
      </c>
      <c r="BC20">
        <v>35</v>
      </c>
      <c r="BD20">
        <v>45</v>
      </c>
      <c r="BE20">
        <v>39</v>
      </c>
      <c r="BF20">
        <v>34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IF(ISNUMBER(SEARCH("FA",C21)),"FA",IF(ISNUMBER(SEARCH("CA",C21)),"CA","CP"))</f>
        <v>CP</v>
      </c>
      <c r="I21">
        <v>8</v>
      </c>
      <c r="J21">
        <v>46</v>
      </c>
      <c r="K21">
        <v>37</v>
      </c>
      <c r="L21">
        <v>32</v>
      </c>
      <c r="M21">
        <v>45</v>
      </c>
      <c r="N21">
        <v>37</v>
      </c>
      <c r="O21">
        <v>31</v>
      </c>
      <c r="P21">
        <v>44</v>
      </c>
      <c r="Q21">
        <v>36</v>
      </c>
      <c r="R21">
        <v>31</v>
      </c>
      <c r="S21">
        <v>42</v>
      </c>
      <c r="T21">
        <v>35</v>
      </c>
      <c r="U21">
        <v>31</v>
      </c>
      <c r="V21">
        <v>41</v>
      </c>
      <c r="W21">
        <v>35</v>
      </c>
      <c r="X21">
        <v>30</v>
      </c>
      <c r="Z21">
        <v>8</v>
      </c>
      <c r="AA21">
        <v>46</v>
      </c>
      <c r="AB21">
        <v>37</v>
      </c>
      <c r="AC21">
        <v>31</v>
      </c>
      <c r="AD21">
        <v>45</v>
      </c>
      <c r="AE21">
        <v>37</v>
      </c>
      <c r="AF21">
        <v>31</v>
      </c>
      <c r="AG21">
        <v>44</v>
      </c>
      <c r="AH21">
        <v>36</v>
      </c>
      <c r="AI21">
        <v>31</v>
      </c>
      <c r="AJ21">
        <v>42</v>
      </c>
      <c r="AK21">
        <v>36</v>
      </c>
      <c r="AL21">
        <v>31</v>
      </c>
      <c r="AM21">
        <v>41</v>
      </c>
      <c r="AN21">
        <v>35</v>
      </c>
      <c r="AO21">
        <v>31</v>
      </c>
      <c r="AQ21">
        <v>8</v>
      </c>
      <c r="AR21">
        <v>46</v>
      </c>
      <c r="AS21">
        <v>37</v>
      </c>
      <c r="AT21">
        <v>32</v>
      </c>
      <c r="AU21">
        <v>45</v>
      </c>
      <c r="AV21">
        <v>37</v>
      </c>
      <c r="AW21">
        <v>31</v>
      </c>
      <c r="AX21">
        <v>44</v>
      </c>
      <c r="AY21">
        <v>36</v>
      </c>
      <c r="AZ21">
        <v>31</v>
      </c>
      <c r="BA21">
        <v>43</v>
      </c>
      <c r="BB21">
        <v>36</v>
      </c>
      <c r="BC21">
        <v>31</v>
      </c>
      <c r="BD21">
        <v>41</v>
      </c>
      <c r="BE21">
        <v>35</v>
      </c>
      <c r="BF21">
        <v>31</v>
      </c>
    </row>
    <row r="22" spans="1:63" x14ac:dyDescent="0.25">
      <c r="B22" t="s">
        <v>30</v>
      </c>
      <c r="C22" s="4" t="e">
        <f>VLOOKUP(C21,Model52373[],2,0)</f>
        <v>#N/A</v>
      </c>
      <c r="D22" t="s">
        <v>131</v>
      </c>
      <c r="I22">
        <v>9</v>
      </c>
      <c r="J22">
        <v>42</v>
      </c>
      <c r="K22">
        <v>34</v>
      </c>
      <c r="L22">
        <v>28</v>
      </c>
      <c r="M22">
        <v>41</v>
      </c>
      <c r="N22">
        <v>34</v>
      </c>
      <c r="O22">
        <v>28</v>
      </c>
      <c r="P22">
        <v>40</v>
      </c>
      <c r="Q22">
        <v>33</v>
      </c>
      <c r="R22">
        <v>28</v>
      </c>
      <c r="S22">
        <v>39</v>
      </c>
      <c r="T22">
        <v>32</v>
      </c>
      <c r="U22">
        <v>28</v>
      </c>
      <c r="V22">
        <v>38</v>
      </c>
      <c r="W22">
        <v>32</v>
      </c>
      <c r="X22">
        <v>27</v>
      </c>
      <c r="Z22">
        <v>9</v>
      </c>
      <c r="AA22">
        <v>42</v>
      </c>
      <c r="AB22">
        <v>34</v>
      </c>
      <c r="AC22">
        <v>28</v>
      </c>
      <c r="AD22">
        <v>41</v>
      </c>
      <c r="AE22">
        <v>34</v>
      </c>
      <c r="AF22">
        <v>28</v>
      </c>
      <c r="AG22">
        <v>40</v>
      </c>
      <c r="AH22">
        <v>33</v>
      </c>
      <c r="AI22">
        <v>28</v>
      </c>
      <c r="AJ22">
        <v>39</v>
      </c>
      <c r="AK22">
        <v>32</v>
      </c>
      <c r="AL22">
        <v>28</v>
      </c>
      <c r="AM22">
        <v>38</v>
      </c>
      <c r="AN22">
        <v>32</v>
      </c>
      <c r="AO22">
        <v>27</v>
      </c>
      <c r="AQ22">
        <v>9</v>
      </c>
      <c r="AR22">
        <v>42</v>
      </c>
      <c r="AS22">
        <v>34</v>
      </c>
      <c r="AT22">
        <v>28</v>
      </c>
      <c r="AU22">
        <v>42</v>
      </c>
      <c r="AV22">
        <v>34</v>
      </c>
      <c r="AW22">
        <v>28</v>
      </c>
      <c r="AX22">
        <v>40</v>
      </c>
      <c r="AY22">
        <v>33</v>
      </c>
      <c r="AZ22">
        <v>28</v>
      </c>
      <c r="BA22">
        <v>39</v>
      </c>
      <c r="BB22">
        <v>33</v>
      </c>
      <c r="BC22">
        <v>28</v>
      </c>
      <c r="BD22">
        <v>38</v>
      </c>
      <c r="BE22">
        <v>32</v>
      </c>
      <c r="BF22">
        <v>28</v>
      </c>
    </row>
    <row r="23" spans="1:63" x14ac:dyDescent="0.25">
      <c r="B23" t="s">
        <v>31</v>
      </c>
      <c r="C23" t="e">
        <f>VLOOKUP(C21,Model52373[],3,FALSE)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38</v>
      </c>
      <c r="N23">
        <v>31</v>
      </c>
      <c r="O23">
        <v>26</v>
      </c>
      <c r="P23">
        <v>37</v>
      </c>
      <c r="Q23">
        <v>30</v>
      </c>
      <c r="R23">
        <v>25</v>
      </c>
      <c r="S23">
        <v>36</v>
      </c>
      <c r="T23">
        <v>30</v>
      </c>
      <c r="U23">
        <v>25</v>
      </c>
      <c r="V23">
        <v>35</v>
      </c>
      <c r="W23">
        <v>29</v>
      </c>
      <c r="X23">
        <v>25</v>
      </c>
      <c r="Z23">
        <v>10</v>
      </c>
      <c r="AA23">
        <v>39</v>
      </c>
      <c r="AB23">
        <v>31</v>
      </c>
      <c r="AC23">
        <v>26</v>
      </c>
      <c r="AD23">
        <v>38</v>
      </c>
      <c r="AE23">
        <v>31</v>
      </c>
      <c r="AF23">
        <v>25</v>
      </c>
      <c r="AG23">
        <v>37</v>
      </c>
      <c r="AH23">
        <v>30</v>
      </c>
      <c r="AI23">
        <v>25</v>
      </c>
      <c r="AJ23">
        <v>36</v>
      </c>
      <c r="AK23">
        <v>30</v>
      </c>
      <c r="AL23">
        <v>25</v>
      </c>
      <c r="AM23">
        <v>35</v>
      </c>
      <c r="AN23">
        <v>29</v>
      </c>
      <c r="AO23">
        <v>25</v>
      </c>
      <c r="AQ23">
        <v>10</v>
      </c>
      <c r="AR23">
        <v>39</v>
      </c>
      <c r="AS23">
        <v>31</v>
      </c>
      <c r="AT23">
        <v>26</v>
      </c>
      <c r="AU23">
        <v>38</v>
      </c>
      <c r="AV23">
        <v>31</v>
      </c>
      <c r="AW23">
        <v>26</v>
      </c>
      <c r="AX23">
        <v>37</v>
      </c>
      <c r="AY23">
        <v>30</v>
      </c>
      <c r="AZ23">
        <v>25</v>
      </c>
      <c r="BA23">
        <v>36</v>
      </c>
      <c r="BB23">
        <v>30</v>
      </c>
      <c r="BC23">
        <v>25</v>
      </c>
      <c r="BD23">
        <v>35</v>
      </c>
      <c r="BE23">
        <v>29</v>
      </c>
      <c r="BF23">
        <v>25</v>
      </c>
    </row>
    <row r="24" spans="1:63" x14ac:dyDescent="0.25">
      <c r="B24" t="s">
        <v>3</v>
      </c>
      <c r="C24" s="11" t="e">
        <f t="array" ref="C24">INDEX(CUtable42272[],MATCH(1,(CUtable42272[RC]=C17)*(CUtable42272[RW]=C18)*(CUtable42272[Lens]=E21),0),4)</f>
        <v>#DIV/0!</v>
      </c>
      <c r="H24" s="5"/>
    </row>
    <row r="25" spans="1:63" x14ac:dyDescent="0.25">
      <c r="B25" t="s">
        <v>133</v>
      </c>
      <c r="C25" s="11">
        <f>VLOOKUP(E21,Table812172777[],2,FALSE)</f>
        <v>1.3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</row>
    <row r="26" spans="1:63" x14ac:dyDescent="0.25">
      <c r="B26" t="s">
        <v>134</v>
      </c>
      <c r="C26" s="11">
        <f>VLOOKUP(E21,Table812172777[],3,FALSE)</f>
        <v>1.3</v>
      </c>
      <c r="H26" s="5"/>
      <c r="I26" t="s">
        <v>218</v>
      </c>
      <c r="J26">
        <f>INDEX(LINEST(TablePBL71[CU],TablePBL71[RCR]^{1,2,3}),1)</f>
        <v>-4.6231546231546738E-2</v>
      </c>
      <c r="K26">
        <f>INDEX(LINEST(TablePBL71[CU1],TablePBL71[RCR]^{1,2,3}),1)</f>
        <v>-7.9642579642579855E-2</v>
      </c>
      <c r="L26">
        <f>INDEX(LINEST(TablePBL71[CU2],TablePBL71[RCR]^{1,2,3}),1)</f>
        <v>-0.11072261072261098</v>
      </c>
      <c r="M26">
        <f>INDEX(LINEST(TablePBL71[CU3],TablePBL71[RCR]^{1,2,3}),1)</f>
        <v>-4.1763791763792128E-2</v>
      </c>
      <c r="N26">
        <f>INDEX(LINEST(TablePBL71[CU4],TablePBL71[RCR]^{1,2,3}),1)</f>
        <v>-7.303807303807347E-2</v>
      </c>
      <c r="O26">
        <f>INDEX(LINEST(TablePBL71[CU5],TablePBL71[RCR]^{1,2,3}),1)</f>
        <v>-0.10003885003885037</v>
      </c>
      <c r="P26">
        <f>INDEX(LINEST(TablePBL71[CU6],TablePBL71[RCR]^{1,2,3}),1)</f>
        <v>-4.7591297591297772E-2</v>
      </c>
      <c r="Q26">
        <f>INDEX(LINEST(TablePBL71[CU7],TablePBL71[RCR]^{1,2,3}),1)</f>
        <v>-7.070707070707094E-2</v>
      </c>
      <c r="R26">
        <f>INDEX(LINEST(TablePBL71[CU8],TablePBL71[RCR]^{1,2,3}),1)</f>
        <v>-9.3240093240093844E-2</v>
      </c>
      <c r="S26">
        <f>INDEX(LINEST(TablePBL71[CU9],TablePBL71[RCR]^{1,2,3}),1)</f>
        <v>-3.7684537684537889E-2</v>
      </c>
      <c r="T26">
        <f>INDEX(LINEST(TablePBL71[CU10],TablePBL71[RCR]^{1,2,3}),1)</f>
        <v>-5.0699300699300863E-2</v>
      </c>
      <c r="U26">
        <f>INDEX(LINEST(TablePBL71[CU11],TablePBL71[RCR]^{1,2,3}),1)</f>
        <v>-7.8671328671329199E-2</v>
      </c>
      <c r="V26">
        <f>INDEX(LINEST(TablePBL71[CU12],TablePBL71[RCR]^{1,2,3}),1)</f>
        <v>-3.9432789432789613E-2</v>
      </c>
      <c r="W26">
        <f>INDEX(LINEST(TablePBL71[CU13],TablePBL71[RCR]^{1,2,3}),1)</f>
        <v>-5.7886557886558054E-2</v>
      </c>
      <c r="X26">
        <f>INDEX(LINEST(TablePBL71[CU14],TablePBL71[RCR]^{1,2,3}),1)</f>
        <v>-6.643356643356664E-2</v>
      </c>
      <c r="Z26" t="s">
        <v>218</v>
      </c>
      <c r="AA26">
        <f>INDEX(LINEST(TablePBLFR78[CU],TablePBLFR78[RCR]^{1,2,3}),1)</f>
        <v>-3.8267288267288382E-2</v>
      </c>
      <c r="AB26">
        <f>INDEX(LINEST(TablePBLFR78[CU1],TablePBLFR78[RCR]^{1,2,3}),1)</f>
        <v>-7.7311577311577881E-2</v>
      </c>
      <c r="AC26">
        <f>INDEX(LINEST(TablePBLFR78[CU2],TablePBLFR78[RCR]^{1,2,3}),1)</f>
        <v>-9.9650349650350314E-2</v>
      </c>
      <c r="AD26">
        <f>INDEX(LINEST(TablePBLFR78[CU3],TablePBLFR78[RCR]^{1,2,3}),1)</f>
        <v>-4.4871794871795254E-2</v>
      </c>
      <c r="AE26">
        <f>INDEX(LINEST(TablePBLFR78[CU4],TablePBLFR78[RCR]^{1,2,3}),1)</f>
        <v>-6.6433566433566987E-2</v>
      </c>
      <c r="AF26">
        <f>INDEX(LINEST(TablePBLFR78[CU5],TablePBLFR78[RCR]^{1,2,3}),1)</f>
        <v>-0.10062160062160103</v>
      </c>
      <c r="AG26">
        <f>INDEX(LINEST(TablePBLFR78[CU6],TablePBLFR78[RCR]^{1,2,3}),1)</f>
        <v>-3.6519036519036645E-2</v>
      </c>
      <c r="AH26">
        <f>INDEX(LINEST(TablePBLFR78[CU7],TablePBLFR78[RCR]^{1,2,3}),1)</f>
        <v>-5.6526806526806667E-2</v>
      </c>
      <c r="AI26">
        <f>INDEX(LINEST(TablePBLFR78[CU8],TablePBLFR78[RCR]^{1,2,3}),1)</f>
        <v>-8.3333333333333925E-2</v>
      </c>
      <c r="AJ26">
        <f>INDEX(LINEST(TablePBLFR78[CU9],TablePBLFR78[RCR]^{1,2,3}),1)</f>
        <v>-3.3993783993784103E-2</v>
      </c>
      <c r="AK26">
        <f>INDEX(LINEST(TablePBLFR78[CU10],TablePBLFR78[RCR]^{1,2,3}),1)</f>
        <v>-5.7303807303807623E-2</v>
      </c>
      <c r="AL26">
        <f>INDEX(LINEST(TablePBLFR78[CU11],TablePBLFR78[RCR]^{1,2,3}),1)</f>
        <v>-7.6534576534576848E-2</v>
      </c>
      <c r="AM26">
        <f>INDEX(LINEST(TablePBLFR78[CU12],TablePBLFR78[RCR]^{1,2,3}),1)</f>
        <v>-3.16627816627819E-2</v>
      </c>
      <c r="AN26">
        <f>INDEX(LINEST(TablePBLFR78[CU13],TablePBLFR78[RCR]^{1,2,3}),1)</f>
        <v>-4.4483294483294744E-2</v>
      </c>
      <c r="AO26">
        <f>INDEX(LINEST(TablePBLFR78[CU14],TablePBLFR78[RCR]^{1,2,3}),1)</f>
        <v>-5.5555555555556115E-2</v>
      </c>
      <c r="AQ26" t="s">
        <v>218</v>
      </c>
      <c r="AR26">
        <f>INDEX(LINEST(Table1x43080[CU],Table1x43080[RCR]^{1,2,3}),1)</f>
        <v>-4.2735042735043062E-2</v>
      </c>
      <c r="AS26">
        <f>INDEX(LINEST(Table1x43080[CU1],Table1x43080[RCR]^{1,2,3}),1)</f>
        <v>-7.2843822843822958E-2</v>
      </c>
      <c r="AT26">
        <f>INDEX(LINEST(Table1x43080[CU2],Table1x43080[RCR]^{1,2,3}),1)</f>
        <v>-0.10392385392385438</v>
      </c>
      <c r="AU26">
        <f>INDEX(LINEST(Table1x43080[CU3],Table1x43080[RCR]^{1,2,3}),1)</f>
        <v>-4.6037296037295901E-2</v>
      </c>
      <c r="AV26">
        <f>INDEX(LINEST(Table1x43080[CU4],Table1x43080[RCR]^{1,2,3}),1)</f>
        <v>-6.1965811965812155E-2</v>
      </c>
      <c r="AW26">
        <f>INDEX(LINEST(Table1x43080[CU5],Table1x43080[RCR]^{1,2,3}),1)</f>
        <v>-9.2074592074592412E-2</v>
      </c>
      <c r="AX26">
        <f>INDEX(LINEST(Table1x43080[CU6],Table1x43080[RCR]^{1,2,3}),1)</f>
        <v>-3.6519036519036645E-2</v>
      </c>
      <c r="AY26">
        <f>INDEX(LINEST(Table1x43080[CU7],Table1x43080[RCR]^{1,2,3}),1)</f>
        <v>-5.6526806526806667E-2</v>
      </c>
      <c r="AZ26">
        <f>INDEX(LINEST(Table1x43080[CU8],Table1x43080[RCR]^{1,2,3}),1)</f>
        <v>-8.3333333333333925E-2</v>
      </c>
      <c r="BA26">
        <f>INDEX(LINEST(Table1x43080[CU9],Table1x43080[RCR]^{1,2,3}),1)</f>
        <v>-3.8267288267288438E-2</v>
      </c>
      <c r="BB26">
        <f>INDEX(LINEST(Table1x43080[CU10],Table1x43080[RCR]^{1,2,3}),1)</f>
        <v>-5.4001554001554458E-2</v>
      </c>
      <c r="BC26">
        <f>INDEX(LINEST(Table1x43080[CU11],Table1x43080[RCR]^{1,2,3}),1)</f>
        <v>-7.536907536907593E-2</v>
      </c>
      <c r="BD26">
        <f>INDEX(LINEST(Table1x43080[CU12],Table1x43080[RCR]^{1,2,3}),1)</f>
        <v>-3.1662781662781782E-2</v>
      </c>
      <c r="BE26">
        <f>INDEX(LINEST(Table1x43080[CU13],Table1x43080[RCR]^{1,2,3}),1)</f>
        <v>-4.4483294483294744E-2</v>
      </c>
      <c r="BF26">
        <f>INDEX(LINEST(Table1x43080[CU14],Table1x43080[RCR]^{1,2,3}),1)</f>
        <v>-5.672105672105697E-2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INDEX(LINEST(TablePBL71[CU],TablePBL71[RCR]^{1,2,3}),1,2)</f>
        <v>1.3589743589743664</v>
      </c>
      <c r="K27">
        <f>INDEX(LINEST(TablePBL71[CU1],TablePBL71[RCR]^{1,2,3}),1,2)</f>
        <v>2.0606060606060619</v>
      </c>
      <c r="L27">
        <f>INDEX(LINEST(TablePBL71[CU2],TablePBL71[RCR]^{1,2,3}),1,2)</f>
        <v>2.7086247086247113</v>
      </c>
      <c r="M27">
        <f>INDEX(LINEST(TablePBL71[CU3],TablePBL71[RCR]^{1,2,3}),1,2)</f>
        <v>1.2803030303030358</v>
      </c>
      <c r="N27">
        <f>INDEX(LINEST(TablePBL71[CU4],TablePBL71[RCR]^{1,2,3}),1,2)</f>
        <v>1.9440559440559499</v>
      </c>
      <c r="O27">
        <f>INDEX(LINEST(TablePBL71[CU5],TablePBL71[RCR]^{1,2,3}),1,2)</f>
        <v>2.4912587412587452</v>
      </c>
      <c r="P27">
        <f>INDEX(LINEST(TablePBL71[CU6],TablePBL71[RCR]^{1,2,3}),1,2)</f>
        <v>1.3304195804195822</v>
      </c>
      <c r="Q27">
        <f>INDEX(LINEST(TablePBL71[CU7],TablePBL71[RCR]^{1,2,3}),1,2)</f>
        <v>1.8344988344988373</v>
      </c>
      <c r="R27">
        <f>INDEX(LINEST(TablePBL71[CU8],TablePBL71[RCR]^{1,2,3}),1,2)</f>
        <v>2.3053613053613149</v>
      </c>
      <c r="S27">
        <f>INDEX(LINEST(TablePBL71[CU9],TablePBL71[RCR]^{1,2,3}),1,2)</f>
        <v>1.1421911421911446</v>
      </c>
      <c r="T27">
        <f>INDEX(LINEST(TablePBL71[CU10],TablePBL71[RCR]^{1,2,3}),1,2)</f>
        <v>1.4737762237762257</v>
      </c>
      <c r="U27">
        <f>INDEX(LINEST(TablePBL71[CU11],TablePBL71[RCR]^{1,2,3}),1,2)</f>
        <v>1.9994172494172573</v>
      </c>
      <c r="V27">
        <f>INDEX(LINEST(TablePBL71[CU12],TablePBL71[RCR]^{1,2,3}),1,2)</f>
        <v>1.1404428904428925</v>
      </c>
      <c r="W27">
        <f>INDEX(LINEST(TablePBL71[CU13],TablePBL71[RCR]^{1,2,3}),1,2)</f>
        <v>1.5337995337995352</v>
      </c>
      <c r="X27">
        <f>INDEX(LINEST(TablePBL71[CU14],TablePBL71[RCR]^{1,2,3}),1,2)</f>
        <v>1.7610722610722633</v>
      </c>
      <c r="Z27" t="s">
        <v>219</v>
      </c>
      <c r="AA27">
        <f>INDEX(LINEST(TablePBLFR78[CU],TablePBLFR78[RCR]^{1,2,3}),1,2)</f>
        <v>1.2523310023310037</v>
      </c>
      <c r="AB27">
        <f>INDEX(LINEST(TablePBLFR78[CU1],TablePBLFR78[RCR]^{1,2,3}),1,2)</f>
        <v>2.0384615384615472</v>
      </c>
      <c r="AC27">
        <f>INDEX(LINEST(TablePBLFR78[CU2],TablePBLFR78[RCR]^{1,2,3}),1,2)</f>
        <v>2.5495337995338097</v>
      </c>
      <c r="AD27">
        <f>INDEX(LINEST(TablePBLFR78[CU3],TablePBLFR78[RCR]^{1,2,3}),1,2)</f>
        <v>1.3141025641025699</v>
      </c>
      <c r="AE27">
        <f>INDEX(LINEST(TablePBLFR78[CU4],TablePBLFR78[RCR]^{1,2,3}),1,2)</f>
        <v>1.8566433566433653</v>
      </c>
      <c r="AF27">
        <f>INDEX(LINEST(TablePBLFR78[CU5],TablePBLFR78[RCR]^{1,2,3}),1,2)</f>
        <v>2.5058275058275115</v>
      </c>
      <c r="AG27">
        <f>INDEX(LINEST(TablePBLFR78[CU6],TablePBLFR78[RCR]^{1,2,3}),1,2)</f>
        <v>1.1375291375291385</v>
      </c>
      <c r="AH27">
        <f>INDEX(LINEST(TablePBLFR78[CU7],TablePBLFR78[RCR]^{1,2,3}),1,2)</f>
        <v>1.6194638694638706</v>
      </c>
      <c r="AI27">
        <f>INDEX(LINEST(TablePBLFR78[CU8],TablePBLFR78[RCR]^{1,2,3}),1,2)</f>
        <v>2.1346153846153935</v>
      </c>
      <c r="AJ27">
        <f>INDEX(LINEST(TablePBLFR78[CU9],TablePBLFR78[RCR]^{1,2,3}),1,2)</f>
        <v>1.1054778554778562</v>
      </c>
      <c r="AK27">
        <f>INDEX(LINEST(TablePBLFR78[CU10],TablePBLFR78[RCR]^{1,2,3}),1,2)</f>
        <v>1.5833333333333377</v>
      </c>
      <c r="AL27">
        <f>INDEX(LINEST(TablePBLFR78[CU11],TablePBLFR78[RCR]^{1,2,3}),1,2)</f>
        <v>1.9720279720279767</v>
      </c>
      <c r="AM27">
        <f>INDEX(LINEST(TablePBLFR78[CU12],TablePBLFR78[RCR]^{1,2,3}),1,2)</f>
        <v>1.0285547785547817</v>
      </c>
      <c r="AN27">
        <f>INDEX(LINEST(TablePBLFR78[CU13],TablePBLFR78[RCR]^{1,2,3}),1,2)</f>
        <v>1.3257575757575792</v>
      </c>
      <c r="AO27">
        <f>INDEX(LINEST(TablePBLFR78[CU14],TablePBLFR78[RCR]^{1,2,3}),1,2)</f>
        <v>1.5862470862470941</v>
      </c>
      <c r="AQ27" t="s">
        <v>219</v>
      </c>
      <c r="AR27">
        <f>INDEX(LINEST(Table1x43080[CU],Table1x43080[RCR]^{1,2,3}),1,2)</f>
        <v>1.3123543123543164</v>
      </c>
      <c r="AS27">
        <f>INDEX(LINEST(Table1x43080[CU1],Table1x43080[RCR]^{1,2,3}),1,2)</f>
        <v>1.9644522144522147</v>
      </c>
      <c r="AT27">
        <f>INDEX(LINEST(Table1x43080[CU2],Table1x43080[RCR]^{1,2,3}),1,2)</f>
        <v>2.6124708624708681</v>
      </c>
      <c r="AU27">
        <f>INDEX(LINEST(Table1x43080[CU3],Table1x43080[RCR]^{1,2,3}),1,2)</f>
        <v>1.3385780885780849</v>
      </c>
      <c r="AV27">
        <f>INDEX(LINEST(Table1x43080[CU4],Table1x43080[RCR]^{1,2,3}),1,2)</f>
        <v>1.7826340326340351</v>
      </c>
      <c r="AW27">
        <f>INDEX(LINEST(Table1x43080[CU5],Table1x43080[RCR]^{1,2,3}),1,2)</f>
        <v>2.3846153846153886</v>
      </c>
      <c r="AX27">
        <f>INDEX(LINEST(Table1x43080[CU6],Table1x43080[RCR]^{1,2,3}),1,2)</f>
        <v>1.1375291375291385</v>
      </c>
      <c r="AY27">
        <f>INDEX(LINEST(Table1x43080[CU7],Table1x43080[RCR]^{1,2,3}),1,2)</f>
        <v>1.6194638694638706</v>
      </c>
      <c r="AZ27">
        <f>INDEX(LINEST(Table1x43080[CU8],Table1x43080[RCR]^{1,2,3}),1,2)</f>
        <v>2.1346153846153935</v>
      </c>
      <c r="BA27">
        <f>INDEX(LINEST(Table1x43080[CU9],Table1x43080[RCR]^{1,2,3}),1,2)</f>
        <v>1.1567599067599086</v>
      </c>
      <c r="BB27">
        <f>INDEX(LINEST(Table1x43080[CU10],Table1x43080[RCR]^{1,2,3}),1,2)</f>
        <v>1.5337995337995396</v>
      </c>
      <c r="BC27">
        <f>INDEX(LINEST(Table1x43080[CU11],Table1x43080[RCR]^{1,2,3}),1,2)</f>
        <v>1.9615384615384694</v>
      </c>
      <c r="BD27">
        <f>INDEX(LINEST(Table1x43080[CU12],Table1x43080[RCR]^{1,2,3}),1,2)</f>
        <v>1.0168997668997684</v>
      </c>
      <c r="BE27">
        <f>INDEX(LINEST(Table1x43080[CU13],Table1x43080[RCR]^{1,2,3}),1,2)</f>
        <v>1.3257575757575792</v>
      </c>
      <c r="BF27">
        <f>INDEX(LINEST(Table1x43080[CU14],Table1x43080[RCR]^{1,2,3}),1,2)</f>
        <v>1.6107226107226136</v>
      </c>
    </row>
    <row r="28" spans="1:63" x14ac:dyDescent="0.25">
      <c r="C28" s="3"/>
      <c r="H28" s="5"/>
      <c r="I28" t="s">
        <v>220</v>
      </c>
      <c r="J28">
        <f t="array" ref="J28">INDEX(LINEST(TablePBL71[CU],TablePBL71[RCR]^{1,2,3}),1,3)</f>
        <v>-16.872183372183397</v>
      </c>
      <c r="K28">
        <f>INDEX(LINEST(TablePBL71[CU1],TablePBL71[RCR]^{1,2,3}),1,3)</f>
        <v>-21.351592851592841</v>
      </c>
      <c r="L28">
        <f>INDEX(LINEST(TablePBL71[CU2],TablePBL71[RCR]^{1,2,3}),1,3)</f>
        <v>-25.220279720279716</v>
      </c>
      <c r="M28">
        <f>INDEX(LINEST(TablePBL71[CU3],TablePBL71[RCR]^{1,2,3}),1,3)</f>
        <v>-16.336441336441357</v>
      </c>
      <c r="N28">
        <f>INDEX(LINEST(TablePBL71[CU4],TablePBL71[RCR]^{1,2,3}),1,3)</f>
        <v>-20.535353535353551</v>
      </c>
      <c r="O28">
        <f>INDEX(LINEST(TablePBL71[CU5],TablePBL71[RCR]^{1,2,3}),1,3)</f>
        <v>-23.810800310800321</v>
      </c>
      <c r="P28">
        <f>INDEX(LINEST(TablePBL71[CU6],TablePBL71[RCR]^{1,2,3}),1,3)</f>
        <v>-15.84226884226884</v>
      </c>
      <c r="Q28">
        <f>INDEX(LINEST(TablePBL71[CU7],TablePBL71[RCR]^{1,2,3}),1,3)</f>
        <v>-19.274281274281279</v>
      </c>
      <c r="R28">
        <f>INDEX(LINEST(TablePBL71[CU8],TablePBL71[RCR]^{1,2,3}),1,3)</f>
        <v>-22.219114219114257</v>
      </c>
      <c r="S28">
        <f>INDEX(LINEST(TablePBL71[CU9],TablePBL71[RCR]^{1,2,3}),1,3)</f>
        <v>-14.461149961149964</v>
      </c>
      <c r="T28">
        <f>INDEX(LINEST(TablePBL71[CU10],TablePBL71[RCR]^{1,2,3}),1,3)</f>
        <v>-17.08741258741259</v>
      </c>
      <c r="U28">
        <f>INDEX(LINEST(TablePBL71[CU11],TablePBL71[RCR]^{1,2,3}),1,3)</f>
        <v>-20.011655011655037</v>
      </c>
      <c r="V28">
        <f>INDEX(LINEST(TablePBL71[CU12],TablePBL71[RCR]^{1,2,3}),1,3)</f>
        <v>-13.954156954156955</v>
      </c>
      <c r="W28">
        <f>INDEX(LINEST(TablePBL71[CU13],TablePBL71[RCR]^{1,2,3}),1,3)</f>
        <v>-16.629759129759126</v>
      </c>
      <c r="X28">
        <f>INDEX(LINEST(TablePBL71[CU14],TablePBL71[RCR]^{1,2,3}),1,3)</f>
        <v>-18.463869463869464</v>
      </c>
      <c r="Z28" t="s">
        <v>220</v>
      </c>
      <c r="AA28">
        <f>INDEX(LINEST(TablePBLFR78[CU],TablePBLFR78[RCR]^{1,2,3}),1,3)</f>
        <v>-16.717560217560216</v>
      </c>
      <c r="AB28">
        <f>INDEX(LINEST(TablePBLFR78[CU1],TablePBLFR78[RCR]^{1,2,3}),1,3)</f>
        <v>-21.464646464646496</v>
      </c>
      <c r="AC28">
        <f>INDEX(LINEST(TablePBLFR78[CU2],TablePBLFR78[RCR]^{1,2,3}),1,3)</f>
        <v>-24.820512820512857</v>
      </c>
      <c r="AD28">
        <f>INDEX(LINEST(TablePBLFR78[CU3],TablePBLFR78[RCR]^{1,2,3}),1,3)</f>
        <v>-16.486013986014008</v>
      </c>
      <c r="AE28">
        <f>INDEX(LINEST(TablePBLFR78[CU4],TablePBLFR78[RCR]^{1,2,3}),1,3)</f>
        <v>-20.419580419580452</v>
      </c>
      <c r="AF28">
        <f>INDEX(LINEST(TablePBLFR78[CU5],TablePBLFR78[RCR]^{1,2,3}),1,3)</f>
        <v>-24.111499611499625</v>
      </c>
      <c r="AG28">
        <f>INDEX(LINEST(TablePBLFR78[CU6],TablePBLFR78[RCR]^{1,2,3}),1,3)</f>
        <v>-15.059052059052055</v>
      </c>
      <c r="AH28">
        <f>INDEX(LINEST(TablePBLFR78[CU7],TablePBLFR78[RCR]^{1,2,3}),1,3)</f>
        <v>-18.548951048951043</v>
      </c>
      <c r="AI28">
        <f>INDEX(LINEST(TablePBLFR78[CU8],TablePBLFR78[RCR]^{1,2,3}),1,3)</f>
        <v>-21.512820512820547</v>
      </c>
      <c r="AJ28">
        <f>INDEX(LINEST(TablePBLFR78[CU9],TablePBLFR78[RCR]^{1,2,3}),1,3)</f>
        <v>-14.672882672882666</v>
      </c>
      <c r="AK28">
        <f>INDEX(LINEST(TablePBLFR78[CU10],TablePBLFR78[RCR]^{1,2,3}),1,3)</f>
        <v>-17.742812742812756</v>
      </c>
      <c r="AL28">
        <f>INDEX(LINEST(TablePBLFR78[CU11],TablePBLFR78[RCR]^{1,2,3}),1,3)</f>
        <v>-20.154234654234671</v>
      </c>
      <c r="AM28">
        <f>INDEX(LINEST(TablePBLFR78[CU12],TablePBLFR78[RCR]^{1,2,3}),1,3)</f>
        <v>-13.738150738150747</v>
      </c>
      <c r="AN28">
        <f>INDEX(LINEST(TablePBLFR78[CU13],TablePBLFR78[RCR]^{1,2,3}),1,3)</f>
        <v>-16.029526029526039</v>
      </c>
      <c r="AO28">
        <f>INDEX(LINEST(TablePBLFR78[CU14],TablePBLFR78[RCR]^{1,2,3}),1,3)</f>
        <v>-17.943278943278969</v>
      </c>
      <c r="AQ28" t="s">
        <v>220</v>
      </c>
      <c r="AR28">
        <f>INDEX(LINEST(Table1x43080[CU],Table1x43080[RCR]^{1,2,3}),1,3)</f>
        <v>-16.885003885003893</v>
      </c>
      <c r="AS28">
        <f>INDEX(LINEST(Table1x43080[CU1],Table1x43080[RCR]^{1,2,3}),1,3)</f>
        <v>-21.157342657342646</v>
      </c>
      <c r="AT28">
        <f>INDEX(LINEST(Table1x43080[CU2],Table1x43080[RCR]^{1,2,3}),1,3)</f>
        <v>-25.026029526029539</v>
      </c>
      <c r="AU28">
        <f>INDEX(LINEST(Table1x43080[CU3],Table1x43080[RCR]^{1,2,3}),1,3)</f>
        <v>-16.586247086247059</v>
      </c>
      <c r="AV28">
        <f>INDEX(LINEST(Table1x43080[CU4],Table1x43080[RCR]^{1,2,3}),1,3)</f>
        <v>-20.112276612276613</v>
      </c>
      <c r="AW28">
        <f>INDEX(LINEST(Table1x43080[CU5],Table1x43080[RCR]^{1,2,3}),1,3)</f>
        <v>-23.656177156177161</v>
      </c>
      <c r="AX28">
        <f>INDEX(LINEST(Table1x43080[CU6],Table1x43080[RCR]^{1,2,3}),1,3)</f>
        <v>-15.059052059052055</v>
      </c>
      <c r="AY28">
        <f>INDEX(LINEST(Table1x43080[CU7],Table1x43080[RCR]^{1,2,3}),1,3)</f>
        <v>-18.548951048951043</v>
      </c>
      <c r="AZ28">
        <f>INDEX(LINEST(Table1x43080[CU8],Table1x43080[RCR]^{1,2,3}),1,3)</f>
        <v>-21.512820512820547</v>
      </c>
      <c r="BA28">
        <f>INDEX(LINEST(Table1x43080[CU9],Table1x43080[RCR]^{1,2,3}),1,3)</f>
        <v>-14.761849261849264</v>
      </c>
      <c r="BB28">
        <f>INDEX(LINEST(Table1x43080[CU10],Table1x43080[RCR]^{1,2,3}),1,3)</f>
        <v>-17.53574203574205</v>
      </c>
      <c r="BC28">
        <f>INDEX(LINEST(Table1x43080[CU11],Table1x43080[RCR]^{1,2,3}),1,3)</f>
        <v>-20.19386169386172</v>
      </c>
      <c r="BD28">
        <f>INDEX(LINEST(Table1x43080[CU12],Table1x43080[RCR]^{1,2,3}),1,3)</f>
        <v>-13.621600621600624</v>
      </c>
      <c r="BE28">
        <f>INDEX(LINEST(Table1x43080[CU13],Table1x43080[RCR]^{1,2,3}),1,3)</f>
        <v>-16.029526029526039</v>
      </c>
      <c r="BF28">
        <f>INDEX(LINEST(Table1x43080[CU14],Table1x43080[RCR]^{1,2,3}),1,3)</f>
        <v>-18.043512043512045</v>
      </c>
    </row>
    <row r="29" spans="1:63" x14ac:dyDescent="0.25">
      <c r="C29" s="3"/>
      <c r="H29" s="5"/>
      <c r="I29" t="s">
        <v>221</v>
      </c>
      <c r="J29">
        <f>INDEX(LINEST(TablePBL71[CU],TablePBL71[RCR]^{1,2,3}),1,4)</f>
        <v>117.78321678321679</v>
      </c>
      <c r="K29">
        <f>INDEX(LINEST(TablePBL71[CU1],TablePBL71[RCR]^{1,2,3}),1,4)</f>
        <v>117.62937062937058</v>
      </c>
      <c r="L29">
        <f>INDEX(LINEST(TablePBL71[CU2],TablePBL71[RCR]^{1,2,3}),1,4)</f>
        <v>117.29370629370624</v>
      </c>
      <c r="M29">
        <f>INDEX(LINEST(TablePBL71[CU3],TablePBL71[RCR]^{1,2,3}),1,4)</f>
        <v>114.99300699300701</v>
      </c>
      <c r="N29">
        <f>INDEX(LINEST(TablePBL71[CU4],TablePBL71[RCR]^{1,2,3}),1,4)</f>
        <v>114.72027972027971</v>
      </c>
      <c r="O29">
        <f>INDEX(LINEST(TablePBL71[CU5],TablePBL71[RCR]^{1,2,3}),1,4)</f>
        <v>114.18881118881119</v>
      </c>
      <c r="P29">
        <f>INDEX(LINEST(TablePBL71[CU6],TablePBL71[RCR]^{1,2,3}),1,4)</f>
        <v>109.8251748251748</v>
      </c>
      <c r="Q29">
        <f>INDEX(LINEST(TablePBL71[CU7],TablePBL71[RCR]^{1,2,3}),1,4)</f>
        <v>109.6083916083916</v>
      </c>
      <c r="R29">
        <f>INDEX(LINEST(TablePBL71[CU8],TablePBL71[RCR]^{1,2,3}),1,4)</f>
        <v>109.50349650349652</v>
      </c>
      <c r="S29">
        <f>INDEX(LINEST(TablePBL71[CU9],TablePBL71[RCR]^{1,2,3}),1,4)</f>
        <v>104.05594405594405</v>
      </c>
      <c r="T29">
        <f>INDEX(LINEST(TablePBL71[CU10],TablePBL71[RCR]^{1,2,3}),1,4)</f>
        <v>103.79720279720277</v>
      </c>
      <c r="U29">
        <f>INDEX(LINEST(TablePBL71[CU11],TablePBL71[RCR]^{1,2,3}),1,4)</f>
        <v>103.62237762237763</v>
      </c>
      <c r="V29">
        <f>INDEX(LINEST(TablePBL71[CU12],TablePBL71[RCR]^{1,2,3}),1,4)</f>
        <v>99.881118881118852</v>
      </c>
      <c r="W29">
        <f>INDEX(LINEST(TablePBL71[CU13],TablePBL71[RCR]^{1,2,3}),1,4)</f>
        <v>99.657342657342625</v>
      </c>
      <c r="X29">
        <f>INDEX(LINEST(TablePBL71[CU14],TablePBL71[RCR]^{1,2,3}),1,4)</f>
        <v>99.496503496503465</v>
      </c>
      <c r="Z29" t="s">
        <v>221</v>
      </c>
      <c r="AA29">
        <f>INDEX(LINEST(TablePBLFR78[CU],TablePBLFR78[RCR]^{1,2,3}),1,4)</f>
        <v>119.09790209790208</v>
      </c>
      <c r="AB29">
        <f>INDEX(LINEST(TablePBLFR78[CU1],TablePBLFR78[RCR]^{1,2,3}),1,4)</f>
        <v>118.69230769230771</v>
      </c>
      <c r="AC29">
        <f>INDEX(LINEST(TablePBLFR78[CU2],TablePBLFR78[RCR]^{1,2,3}),1,4)</f>
        <v>118.18181818181819</v>
      </c>
      <c r="AD29">
        <f>INDEX(LINEST(TablePBLFR78[CU3],TablePBLFR78[RCR]^{1,2,3}),1,4)</f>
        <v>116.04895104895103</v>
      </c>
      <c r="AE29">
        <f>INDEX(LINEST(TablePBLFR78[CU4],TablePBLFR78[RCR]^{1,2,3}),1,4)</f>
        <v>115.83916083916085</v>
      </c>
      <c r="AF29">
        <f>INDEX(LINEST(TablePBLFR78[CU5],TablePBLFR78[RCR]^{1,2,3}),1,4)</f>
        <v>115.70629370629369</v>
      </c>
      <c r="AG29">
        <f>INDEX(LINEST(TablePBLFR78[CU6],TablePBLFR78[RCR]^{1,2,3}),1,4)</f>
        <v>110.25174825174825</v>
      </c>
      <c r="AH29">
        <f>INDEX(LINEST(TablePBLFR78[CU7],TablePBLFR78[RCR]^{1,2,3}),1,4)</f>
        <v>109.97202797202793</v>
      </c>
      <c r="AI29">
        <f>INDEX(LINEST(TablePBLFR78[CU8],TablePBLFR78[RCR]^{1,2,3}),1,4)</f>
        <v>109.67832167832171</v>
      </c>
      <c r="AJ29">
        <f>INDEX(LINEST(TablePBLFR78[CU9],TablePBLFR78[RCR]^{1,2,3}),1,4)</f>
        <v>106.20279720279719</v>
      </c>
      <c r="AK29">
        <f>INDEX(LINEST(TablePBLFR78[CU10],TablePBLFR78[RCR]^{1,2,3}),1,4)</f>
        <v>105.96503496503495</v>
      </c>
      <c r="AL29">
        <f>INDEX(LINEST(TablePBLFR78[CU11],TablePBLFR78[RCR]^{1,2,3}),1,4)</f>
        <v>105.61538461538461</v>
      </c>
      <c r="AM29">
        <f>INDEX(LINEST(TablePBLFR78[CU12],TablePBLFR78[RCR]^{1,2,3}),1,4)</f>
        <v>101.30769230769229</v>
      </c>
      <c r="AN29">
        <f>INDEX(LINEST(TablePBLFR78[CU13],TablePBLFR78[RCR]^{1,2,3}),1,4)</f>
        <v>101.25174825174827</v>
      </c>
      <c r="AO29">
        <f>INDEX(LINEST(TablePBLFR78[CU14],TablePBLFR78[RCR]^{1,2,3}),1,4)</f>
        <v>101.11188811188812</v>
      </c>
      <c r="AQ29" t="s">
        <v>221</v>
      </c>
      <c r="AR29">
        <f>INDEX(LINEST(Table1x43080[CU],Table1x43080[RCR]^{1,2,3}),1,4)</f>
        <v>119.15384615384616</v>
      </c>
      <c r="AS29">
        <f>INDEX(LINEST(Table1x43080[CU1],Table1x43080[RCR]^{1,2,3}),1,4)</f>
        <v>118.60839160839159</v>
      </c>
      <c r="AT29">
        <f>INDEX(LINEST(Table1x43080[CU2],Table1x43080[RCR]^{1,2,3}),1,4)</f>
        <v>118.27272727272727</v>
      </c>
      <c r="AU29">
        <f>INDEX(LINEST(Table1x43080[CU3],Table1x43080[RCR]^{1,2,3}),1,4)</f>
        <v>116.10489510489506</v>
      </c>
      <c r="AV29">
        <f>INDEX(LINEST(Table1x43080[CU4],Table1x43080[RCR]^{1,2,3}),1,4)</f>
        <v>115.75524475524473</v>
      </c>
      <c r="AW29">
        <f>INDEX(LINEST(Table1x43080[CU5],Table1x43080[RCR]^{1,2,3}),1,4)</f>
        <v>115.50349650349649</v>
      </c>
      <c r="AX29">
        <f>INDEX(LINEST(Table1x43080[CU6],Table1x43080[RCR]^{1,2,3}),1,4)</f>
        <v>110.25174825174825</v>
      </c>
      <c r="AY29">
        <f>INDEX(LINEST(Table1x43080[CU7],Table1x43080[RCR]^{1,2,3}),1,4)</f>
        <v>109.97202797202793</v>
      </c>
      <c r="AZ29">
        <f>INDEX(LINEST(Table1x43080[CU8],Table1x43080[RCR]^{1,2,3}),1,4)</f>
        <v>109.67832167832171</v>
      </c>
      <c r="BA29">
        <f>INDEX(LINEST(Table1x43080[CU9],Table1x43080[RCR]^{1,2,3}),1,4)</f>
        <v>106.2097902097902</v>
      </c>
      <c r="BB29">
        <f>INDEX(LINEST(Table1x43080[CU10],Table1x43080[RCR]^{1,2,3}),1,4)</f>
        <v>105.93706293706293</v>
      </c>
      <c r="BC29">
        <f>INDEX(LINEST(Table1x43080[CU11],Table1x43080[RCR]^{1,2,3}),1,4)</f>
        <v>105.95104895104896</v>
      </c>
      <c r="BD29">
        <f>INDEX(LINEST(Table1x43080[CU12],Table1x43080[RCR]^{1,2,3}),1,4)</f>
        <v>101.22377622377621</v>
      </c>
      <c r="BE29">
        <f>INDEX(LINEST(Table1x43080[CU13],Table1x43080[RCR]^{1,2,3}),1,4)</f>
        <v>101.25174825174827</v>
      </c>
      <c r="BF29">
        <f>INDEX(LINEST(Table1x43080[CU14],Table1x43080[RCR]^{1,2,3}),1,4)</f>
        <v>101.16783216783213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724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725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725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725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725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725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725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725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725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725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725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725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1.3</v>
      </c>
      <c r="F44" s="12">
        <f>E44*(C14-C15)</f>
        <v>-3.25</v>
      </c>
      <c r="H44" t="s">
        <v>25</v>
      </c>
      <c r="I44">
        <v>30</v>
      </c>
      <c r="J44">
        <v>10</v>
      </c>
      <c r="K44" t="s">
        <v>725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</v>
      </c>
      <c r="F45" s="12">
        <f>E45*(C14-C15)</f>
        <v>-3.25</v>
      </c>
      <c r="H45" t="s">
        <v>27</v>
      </c>
      <c r="I45">
        <v>10</v>
      </c>
      <c r="J45">
        <v>50</v>
      </c>
      <c r="K45" t="s">
        <v>725</v>
      </c>
      <c r="L45" t="e">
        <f>V25</f>
        <v>#DIV/0!</v>
      </c>
    </row>
    <row r="46" spans="1:63" x14ac:dyDescent="0.25">
      <c r="B46" t="s">
        <v>1346</v>
      </c>
      <c r="C46" s="1" t="e">
        <f>IF(C39=1,C7/2,C44/2)</f>
        <v>#N/A</v>
      </c>
      <c r="D46" t="s">
        <v>8</v>
      </c>
      <c r="H46" t="s">
        <v>28</v>
      </c>
      <c r="I46">
        <v>10</v>
      </c>
      <c r="J46">
        <v>30</v>
      </c>
      <c r="K46" t="s">
        <v>725</v>
      </c>
      <c r="L46" t="e">
        <f>W25</f>
        <v>#DIV/0!</v>
      </c>
    </row>
    <row r="47" spans="1:63" x14ac:dyDescent="0.25">
      <c r="B47" t="s">
        <v>1347</v>
      </c>
      <c r="C47" s="1" t="e">
        <f>IF(C40=1,C8/2,C45/2)</f>
        <v>#N/A</v>
      </c>
      <c r="D47" t="s">
        <v>8</v>
      </c>
      <c r="H47" t="s">
        <v>29</v>
      </c>
      <c r="I47">
        <v>10</v>
      </c>
      <c r="J47">
        <v>10</v>
      </c>
      <c r="K47" t="s">
        <v>725</v>
      </c>
      <c r="L47" t="e">
        <f>X25</f>
        <v>#DIV/0!</v>
      </c>
    </row>
    <row r="48" spans="1:63" ht="15" customHeight="1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 t="s">
        <v>726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726</v>
      </c>
      <c r="L49" t="e">
        <f>AB25</f>
        <v>#DIV/0!</v>
      </c>
    </row>
    <row r="50" spans="1:12" x14ac:dyDescent="0.25">
      <c r="H50" t="s">
        <v>17</v>
      </c>
      <c r="I50">
        <v>80</v>
      </c>
      <c r="J50">
        <v>10</v>
      </c>
      <c r="K50" t="s">
        <v>726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 t="s">
        <v>726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726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726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726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726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726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726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 t="s">
        <v>726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 t="s">
        <v>726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 t="s">
        <v>726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 t="s">
        <v>726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 t="s">
        <v>726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 t="s">
        <v>727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 t="s">
        <v>727</v>
      </c>
      <c r="L64" t="e">
        <f>AS25</f>
        <v>#DIV/0!</v>
      </c>
    </row>
    <row r="65" spans="8:12" x14ac:dyDescent="0.25">
      <c r="H65" t="s">
        <v>17</v>
      </c>
      <c r="I65">
        <v>80</v>
      </c>
      <c r="J65">
        <v>10</v>
      </c>
      <c r="K65" t="s">
        <v>727</v>
      </c>
      <c r="L65" t="e">
        <f>AT25</f>
        <v>#DIV/0!</v>
      </c>
    </row>
    <row r="66" spans="8:12" x14ac:dyDescent="0.25">
      <c r="H66" t="s">
        <v>18</v>
      </c>
      <c r="I66">
        <v>70</v>
      </c>
      <c r="J66">
        <v>50</v>
      </c>
      <c r="K66" t="s">
        <v>727</v>
      </c>
      <c r="L66" t="e">
        <f>AU25</f>
        <v>#DIV/0!</v>
      </c>
    </row>
    <row r="67" spans="8:12" x14ac:dyDescent="0.25">
      <c r="H67" t="s">
        <v>19</v>
      </c>
      <c r="I67">
        <v>70</v>
      </c>
      <c r="J67">
        <v>30</v>
      </c>
      <c r="K67" t="s">
        <v>727</v>
      </c>
      <c r="L67" t="e">
        <f>AV25</f>
        <v>#DIV/0!</v>
      </c>
    </row>
    <row r="68" spans="8:12" x14ac:dyDescent="0.25">
      <c r="H68" t="s">
        <v>20</v>
      </c>
      <c r="I68">
        <v>70</v>
      </c>
      <c r="J68">
        <v>10</v>
      </c>
      <c r="K68" t="s">
        <v>727</v>
      </c>
      <c r="L68" t="e">
        <f>AW25</f>
        <v>#DIV/0!</v>
      </c>
    </row>
    <row r="69" spans="8:12" x14ac:dyDescent="0.25">
      <c r="H69" t="s">
        <v>21</v>
      </c>
      <c r="I69">
        <v>50</v>
      </c>
      <c r="J69">
        <v>50</v>
      </c>
      <c r="K69" t="s">
        <v>727</v>
      </c>
      <c r="L69" t="e">
        <f>AX25</f>
        <v>#DIV/0!</v>
      </c>
    </row>
    <row r="70" spans="8:12" x14ac:dyDescent="0.25">
      <c r="H70" t="s">
        <v>22</v>
      </c>
      <c r="I70">
        <v>50</v>
      </c>
      <c r="J70">
        <v>30</v>
      </c>
      <c r="K70" t="s">
        <v>727</v>
      </c>
      <c r="L70" t="e">
        <f>AY25</f>
        <v>#DIV/0!</v>
      </c>
    </row>
    <row r="71" spans="8:12" x14ac:dyDescent="0.25">
      <c r="H71" t="s">
        <v>23</v>
      </c>
      <c r="I71">
        <v>50</v>
      </c>
      <c r="J71">
        <v>10</v>
      </c>
      <c r="K71" t="s">
        <v>727</v>
      </c>
      <c r="L71" t="e">
        <f>AZ25</f>
        <v>#DIV/0!</v>
      </c>
    </row>
    <row r="72" spans="8:12" x14ac:dyDescent="0.25">
      <c r="H72" t="s">
        <v>24</v>
      </c>
      <c r="I72">
        <v>30</v>
      </c>
      <c r="J72">
        <v>50</v>
      </c>
      <c r="K72" t="s">
        <v>727</v>
      </c>
      <c r="L72" t="e">
        <f>BA25</f>
        <v>#DIV/0!</v>
      </c>
    </row>
    <row r="73" spans="8:12" x14ac:dyDescent="0.25">
      <c r="H73" t="s">
        <v>26</v>
      </c>
      <c r="I73">
        <v>30</v>
      </c>
      <c r="J73">
        <v>30</v>
      </c>
      <c r="K73" t="s">
        <v>727</v>
      </c>
      <c r="L73" t="e">
        <f>BB25</f>
        <v>#DIV/0!</v>
      </c>
    </row>
    <row r="74" spans="8:12" x14ac:dyDescent="0.25">
      <c r="H74" t="s">
        <v>25</v>
      </c>
      <c r="I74">
        <v>30</v>
      </c>
      <c r="J74">
        <v>10</v>
      </c>
      <c r="K74" t="s">
        <v>727</v>
      </c>
      <c r="L74" t="e">
        <f>BC25</f>
        <v>#DIV/0!</v>
      </c>
    </row>
    <row r="75" spans="8:12" x14ac:dyDescent="0.25">
      <c r="H75" t="s">
        <v>27</v>
      </c>
      <c r="I75">
        <v>10</v>
      </c>
      <c r="J75">
        <v>50</v>
      </c>
      <c r="K75" t="s">
        <v>727</v>
      </c>
      <c r="L75" t="e">
        <f>BD25</f>
        <v>#DIV/0!</v>
      </c>
    </row>
    <row r="76" spans="8:12" x14ac:dyDescent="0.25">
      <c r="H76" t="s">
        <v>28</v>
      </c>
      <c r="I76">
        <v>10</v>
      </c>
      <c r="J76">
        <v>30</v>
      </c>
      <c r="K76" t="s">
        <v>727</v>
      </c>
      <c r="L76" t="e">
        <f>BE25</f>
        <v>#DIV/0!</v>
      </c>
    </row>
    <row r="77" spans="8:12" x14ac:dyDescent="0.25">
      <c r="H77" t="s">
        <v>29</v>
      </c>
      <c r="I77">
        <v>10</v>
      </c>
      <c r="J77">
        <v>10</v>
      </c>
      <c r="K77" t="s">
        <v>727</v>
      </c>
      <c r="L77" t="e">
        <f>BF25</f>
        <v>#DIV/0!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697</v>
      </c>
      <c r="J81">
        <v>8601</v>
      </c>
      <c r="K81">
        <v>64</v>
      </c>
    </row>
    <row r="82" spans="9:22" x14ac:dyDescent="0.25">
      <c r="I82" t="s">
        <v>698</v>
      </c>
      <c r="J82">
        <v>12471</v>
      </c>
      <c r="K82">
        <v>102</v>
      </c>
    </row>
    <row r="83" spans="9:22" x14ac:dyDescent="0.25">
      <c r="I83" t="s">
        <v>699</v>
      </c>
      <c r="J83">
        <v>16673</v>
      </c>
      <c r="K83">
        <v>129</v>
      </c>
    </row>
    <row r="84" spans="9:22" x14ac:dyDescent="0.25">
      <c r="I84" t="s">
        <v>700</v>
      </c>
      <c r="J84">
        <v>8803</v>
      </c>
      <c r="K84">
        <v>64</v>
      </c>
    </row>
    <row r="85" spans="9:22" x14ac:dyDescent="0.25">
      <c r="I85" t="s">
        <v>701</v>
      </c>
      <c r="J85">
        <v>12763</v>
      </c>
      <c r="K85">
        <v>102</v>
      </c>
    </row>
    <row r="86" spans="9:22" x14ac:dyDescent="0.25">
      <c r="I86" t="s">
        <v>702</v>
      </c>
      <c r="J86">
        <v>17063</v>
      </c>
      <c r="K86">
        <v>129</v>
      </c>
    </row>
    <row r="87" spans="9:22" x14ac:dyDescent="0.25">
      <c r="I87" t="s">
        <v>703</v>
      </c>
      <c r="J87">
        <v>8753</v>
      </c>
      <c r="K87">
        <v>64</v>
      </c>
      <c r="N87" t="s">
        <v>11</v>
      </c>
      <c r="O87" t="s">
        <v>12</v>
      </c>
      <c r="P87" t="s">
        <v>15</v>
      </c>
      <c r="R87" t="s">
        <v>724</v>
      </c>
      <c r="S87" t="s">
        <v>135</v>
      </c>
      <c r="T87" t="s">
        <v>136</v>
      </c>
      <c r="V87" t="s">
        <v>138</v>
      </c>
    </row>
    <row r="88" spans="9:22" x14ac:dyDescent="0.25">
      <c r="I88" t="s">
        <v>704</v>
      </c>
      <c r="J88">
        <v>12691</v>
      </c>
      <c r="K88">
        <v>102</v>
      </c>
      <c r="N88">
        <v>80</v>
      </c>
      <c r="O88">
        <v>50</v>
      </c>
      <c r="P88">
        <v>20</v>
      </c>
      <c r="R88" t="s">
        <v>725</v>
      </c>
      <c r="S88">
        <v>1.26</v>
      </c>
      <c r="T88">
        <v>1.28</v>
      </c>
      <c r="V88">
        <v>0</v>
      </c>
    </row>
    <row r="89" spans="9:22" x14ac:dyDescent="0.25">
      <c r="I89" t="s">
        <v>705</v>
      </c>
      <c r="J89">
        <v>16968</v>
      </c>
      <c r="K89">
        <v>129</v>
      </c>
      <c r="N89">
        <v>70</v>
      </c>
      <c r="O89">
        <v>30</v>
      </c>
      <c r="R89" t="s">
        <v>726</v>
      </c>
      <c r="S89" s="11">
        <v>1.3</v>
      </c>
      <c r="T89">
        <v>1.3</v>
      </c>
      <c r="V89">
        <v>90</v>
      </c>
    </row>
    <row r="90" spans="9:22" x14ac:dyDescent="0.25">
      <c r="I90" t="s">
        <v>706</v>
      </c>
      <c r="J90">
        <v>8867</v>
      </c>
      <c r="K90">
        <v>64</v>
      </c>
      <c r="N90">
        <v>50</v>
      </c>
      <c r="O90">
        <v>10</v>
      </c>
      <c r="R90" t="s">
        <v>727</v>
      </c>
      <c r="S90">
        <v>1.3</v>
      </c>
      <c r="T90">
        <v>1.3</v>
      </c>
    </row>
    <row r="91" spans="9:22" x14ac:dyDescent="0.25">
      <c r="I91" t="s">
        <v>707</v>
      </c>
      <c r="J91">
        <v>12857</v>
      </c>
      <c r="K91">
        <v>102</v>
      </c>
      <c r="N91">
        <v>30</v>
      </c>
    </row>
    <row r="92" spans="9:22" x14ac:dyDescent="0.25">
      <c r="I92" t="s">
        <v>708</v>
      </c>
      <c r="J92">
        <v>17189</v>
      </c>
      <c r="K92">
        <v>129</v>
      </c>
      <c r="N92">
        <v>10</v>
      </c>
    </row>
    <row r="93" spans="9:22" x14ac:dyDescent="0.25">
      <c r="I93" t="s">
        <v>709</v>
      </c>
      <c r="J93">
        <v>9075</v>
      </c>
      <c r="K93">
        <v>64</v>
      </c>
    </row>
    <row r="94" spans="9:22" x14ac:dyDescent="0.25">
      <c r="I94" t="s">
        <v>710</v>
      </c>
      <c r="J94">
        <v>13158</v>
      </c>
      <c r="K94">
        <v>102</v>
      </c>
    </row>
    <row r="95" spans="9:22" x14ac:dyDescent="0.25">
      <c r="I95" t="s">
        <v>711</v>
      </c>
      <c r="J95">
        <v>17591</v>
      </c>
      <c r="K95">
        <v>129</v>
      </c>
    </row>
    <row r="96" spans="9:22" x14ac:dyDescent="0.25">
      <c r="I96" t="s">
        <v>712</v>
      </c>
      <c r="J96">
        <v>9024</v>
      </c>
      <c r="K96">
        <v>64</v>
      </c>
    </row>
    <row r="97" spans="9:11" x14ac:dyDescent="0.25">
      <c r="I97" t="s">
        <v>713</v>
      </c>
      <c r="J97">
        <v>13084</v>
      </c>
      <c r="K97">
        <v>102</v>
      </c>
    </row>
    <row r="98" spans="9:11" x14ac:dyDescent="0.25">
      <c r="I98" t="s">
        <v>714</v>
      </c>
      <c r="J98">
        <v>17492</v>
      </c>
      <c r="K98">
        <v>129</v>
      </c>
    </row>
    <row r="99" spans="9:11" x14ac:dyDescent="0.25">
      <c r="I99" t="s">
        <v>715</v>
      </c>
      <c r="J99">
        <v>9133</v>
      </c>
      <c r="K99">
        <v>64</v>
      </c>
    </row>
    <row r="100" spans="9:11" x14ac:dyDescent="0.25">
      <c r="I100" t="s">
        <v>716</v>
      </c>
      <c r="J100">
        <v>13242</v>
      </c>
      <c r="K100">
        <v>102</v>
      </c>
    </row>
    <row r="101" spans="9:11" x14ac:dyDescent="0.25">
      <c r="I101" t="s">
        <v>717</v>
      </c>
      <c r="J101">
        <v>17704</v>
      </c>
      <c r="K101">
        <v>129</v>
      </c>
    </row>
    <row r="102" spans="9:11" x14ac:dyDescent="0.25">
      <c r="I102" t="s">
        <v>718</v>
      </c>
      <c r="J102">
        <v>9347</v>
      </c>
      <c r="K102">
        <v>64</v>
      </c>
    </row>
    <row r="103" spans="9:11" x14ac:dyDescent="0.25">
      <c r="I103" t="s">
        <v>719</v>
      </c>
      <c r="J103">
        <v>13552</v>
      </c>
      <c r="K103">
        <v>102</v>
      </c>
    </row>
    <row r="104" spans="9:11" x14ac:dyDescent="0.25">
      <c r="I104" t="s">
        <v>720</v>
      </c>
      <c r="J104">
        <v>18119</v>
      </c>
      <c r="K104">
        <v>129</v>
      </c>
    </row>
    <row r="105" spans="9:11" x14ac:dyDescent="0.25">
      <c r="I105" t="s">
        <v>721</v>
      </c>
      <c r="J105">
        <v>9295</v>
      </c>
      <c r="K105">
        <v>64</v>
      </c>
    </row>
    <row r="106" spans="9:11" x14ac:dyDescent="0.25">
      <c r="I106" t="s">
        <v>722</v>
      </c>
      <c r="J106">
        <v>13476</v>
      </c>
      <c r="K106">
        <v>102</v>
      </c>
    </row>
    <row r="107" spans="9:11" x14ac:dyDescent="0.25">
      <c r="I107" t="s">
        <v>723</v>
      </c>
      <c r="J107">
        <v>18017</v>
      </c>
      <c r="K107">
        <v>129</v>
      </c>
    </row>
  </sheetData>
  <sheetProtection algorithmName="SHA-512" hashValue="RLMceMOV/5YyAnxMLck3wTawjQGNZ9qfDD09bWsnycSQpSnbM/U92UkgyP/+zcvuDrtvLrlK8u2fD+Vs7q9N1g==" saltValue="Hj90DZqOUc5epi3aJL/qEw==" spinCount="100000" sheet="1" selectLockedCells="1"/>
  <mergeCells count="4">
    <mergeCell ref="BI5:BK5"/>
    <mergeCell ref="BI6:BK6"/>
    <mergeCell ref="BI7:BK7"/>
    <mergeCell ref="A52:D55"/>
  </mergeCells>
  <conditionalFormatting sqref="C44">
    <cfRule type="cellIs" dxfId="191" priority="2" operator="greaterThan">
      <formula>$F$44</formula>
    </cfRule>
  </conditionalFormatting>
  <conditionalFormatting sqref="C45">
    <cfRule type="cellIs" dxfId="190" priority="1" operator="greaterThan">
      <formula>$F$45</formula>
    </cfRule>
  </conditionalFormatting>
  <dataValidations count="4">
    <dataValidation type="list" allowBlank="1" showInputMessage="1" showErrorMessage="1" sqref="C43" xr:uid="{FA1ABF0D-0881-4B65-9DE4-475131E539D9}">
      <formula1>$V$88:$V$89</formula1>
    </dataValidation>
    <dataValidation type="list" allowBlank="1" showInputMessage="1" showErrorMessage="1" sqref="C18" xr:uid="{7C4EC6FF-37D2-4382-87D8-8662A75E6503}">
      <formula1>$O$88:$O$90</formula1>
    </dataValidation>
    <dataValidation type="list" allowBlank="1" showInputMessage="1" showErrorMessage="1" sqref="C17" xr:uid="{1E002844-3B25-4E3A-824F-561B8CF7246B}">
      <formula1>$N$88:$N$92</formula1>
    </dataValidation>
    <dataValidation type="list" allowBlank="1" showInputMessage="1" showErrorMessage="1" sqref="C21" xr:uid="{9FD8EB29-8DA8-426C-8D59-CCE58B229621}">
      <formula1>$I$81:$I$107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29755-88C2-4BF8-A174-4F44D7CCAD79}">
  <sheetPr>
    <pageSetUpPr fitToPage="1"/>
  </sheetPr>
  <dimension ref="A5:BK116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4.7109375" customWidth="1"/>
    <col min="3" max="3" width="25.1406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58" width="9.140625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765</v>
      </c>
      <c r="BH7" s="5" t="s">
        <v>1345</v>
      </c>
      <c r="BI7" s="37"/>
      <c r="BJ7" s="37"/>
      <c r="BK7" s="37"/>
    </row>
    <row r="9" spans="1:63" x14ac:dyDescent="0.25">
      <c r="I9" s="6" t="s">
        <v>725</v>
      </c>
      <c r="Z9" s="2" t="s">
        <v>726</v>
      </c>
      <c r="AQ9" s="2" t="s">
        <v>727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118</v>
      </c>
      <c r="K13">
        <v>118</v>
      </c>
      <c r="L13">
        <v>118</v>
      </c>
      <c r="M13">
        <v>115</v>
      </c>
      <c r="N13">
        <v>115</v>
      </c>
      <c r="O13">
        <v>115</v>
      </c>
      <c r="P13">
        <v>109</v>
      </c>
      <c r="Q13">
        <v>109</v>
      </c>
      <c r="R13">
        <v>109</v>
      </c>
      <c r="S13">
        <v>104</v>
      </c>
      <c r="T13">
        <v>104</v>
      </c>
      <c r="U13">
        <v>104</v>
      </c>
      <c r="V13">
        <v>99</v>
      </c>
      <c r="W13">
        <v>99</v>
      </c>
      <c r="X13">
        <v>99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110</v>
      </c>
      <c r="AH13">
        <v>110</v>
      </c>
      <c r="AI13">
        <v>110</v>
      </c>
      <c r="AJ13">
        <v>105</v>
      </c>
      <c r="AK13">
        <v>105</v>
      </c>
      <c r="AL13">
        <v>105</v>
      </c>
      <c r="AM13">
        <v>101</v>
      </c>
      <c r="AN13">
        <v>101</v>
      </c>
      <c r="AO13">
        <v>101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110</v>
      </c>
      <c r="AY13">
        <v>110</v>
      </c>
      <c r="AZ13">
        <v>110</v>
      </c>
      <c r="BA13">
        <v>105</v>
      </c>
      <c r="BB13">
        <v>105</v>
      </c>
      <c r="BC13">
        <v>105</v>
      </c>
      <c r="BD13">
        <v>101</v>
      </c>
      <c r="BE13">
        <v>101</v>
      </c>
      <c r="BF13">
        <v>101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103</v>
      </c>
      <c r="K14">
        <v>98</v>
      </c>
      <c r="L14">
        <v>94</v>
      </c>
      <c r="M14">
        <v>100</v>
      </c>
      <c r="N14">
        <v>96</v>
      </c>
      <c r="O14">
        <v>93</v>
      </c>
      <c r="P14">
        <v>95</v>
      </c>
      <c r="Q14">
        <v>92</v>
      </c>
      <c r="R14">
        <v>89</v>
      </c>
      <c r="S14">
        <v>91</v>
      </c>
      <c r="T14">
        <v>88</v>
      </c>
      <c r="U14">
        <v>86</v>
      </c>
      <c r="V14">
        <v>87</v>
      </c>
      <c r="W14">
        <v>85</v>
      </c>
      <c r="X14">
        <v>83</v>
      </c>
      <c r="Z14">
        <v>1</v>
      </c>
      <c r="AA14">
        <v>104</v>
      </c>
      <c r="AB14">
        <v>99</v>
      </c>
      <c r="AC14">
        <v>95</v>
      </c>
      <c r="AD14">
        <v>101</v>
      </c>
      <c r="AE14">
        <v>97</v>
      </c>
      <c r="AF14">
        <v>94</v>
      </c>
      <c r="AG14">
        <v>97</v>
      </c>
      <c r="AH14">
        <v>93</v>
      </c>
      <c r="AI14">
        <v>90</v>
      </c>
      <c r="AJ14">
        <v>93</v>
      </c>
      <c r="AK14">
        <v>90</v>
      </c>
      <c r="AL14">
        <v>87</v>
      </c>
      <c r="AM14">
        <v>89</v>
      </c>
      <c r="AN14">
        <v>87</v>
      </c>
      <c r="AO14">
        <v>85</v>
      </c>
      <c r="AQ14">
        <v>1</v>
      </c>
      <c r="AR14">
        <v>104</v>
      </c>
      <c r="AS14">
        <v>99</v>
      </c>
      <c r="AT14">
        <v>95</v>
      </c>
      <c r="AU14">
        <v>101</v>
      </c>
      <c r="AV14">
        <v>97</v>
      </c>
      <c r="AW14">
        <v>94</v>
      </c>
      <c r="AX14">
        <v>97</v>
      </c>
      <c r="AY14">
        <v>93</v>
      </c>
      <c r="AZ14">
        <v>91</v>
      </c>
      <c r="BA14">
        <v>93</v>
      </c>
      <c r="BB14">
        <v>90</v>
      </c>
      <c r="BC14">
        <v>88</v>
      </c>
      <c r="BD14">
        <v>89</v>
      </c>
      <c r="BE14">
        <v>87</v>
      </c>
      <c r="BF14">
        <v>85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83</v>
      </c>
      <c r="L15">
        <v>77</v>
      </c>
      <c r="M15">
        <v>88</v>
      </c>
      <c r="N15">
        <v>81</v>
      </c>
      <c r="O15">
        <v>76</v>
      </c>
      <c r="P15">
        <v>83</v>
      </c>
      <c r="Q15">
        <v>78</v>
      </c>
      <c r="R15">
        <v>74</v>
      </c>
      <c r="S15">
        <v>80</v>
      </c>
      <c r="T15">
        <v>75</v>
      </c>
      <c r="U15">
        <v>71</v>
      </c>
      <c r="V15">
        <v>76</v>
      </c>
      <c r="W15">
        <v>73</v>
      </c>
      <c r="X15">
        <v>69</v>
      </c>
      <c r="Z15">
        <v>2</v>
      </c>
      <c r="AA15">
        <v>90</v>
      </c>
      <c r="AB15">
        <v>83</v>
      </c>
      <c r="AC15">
        <v>78</v>
      </c>
      <c r="AD15">
        <v>88</v>
      </c>
      <c r="AE15">
        <v>82</v>
      </c>
      <c r="AF15">
        <v>77</v>
      </c>
      <c r="AG15">
        <v>85</v>
      </c>
      <c r="AH15">
        <v>79</v>
      </c>
      <c r="AI15">
        <v>75</v>
      </c>
      <c r="AJ15">
        <v>81</v>
      </c>
      <c r="AK15">
        <v>77</v>
      </c>
      <c r="AL15">
        <v>73</v>
      </c>
      <c r="AM15">
        <v>78</v>
      </c>
      <c r="AN15">
        <v>74</v>
      </c>
      <c r="AO15">
        <v>71</v>
      </c>
      <c r="AQ15">
        <v>2</v>
      </c>
      <c r="AR15">
        <v>90</v>
      </c>
      <c r="AS15">
        <v>84</v>
      </c>
      <c r="AT15">
        <v>78</v>
      </c>
      <c r="AU15">
        <v>88</v>
      </c>
      <c r="AV15">
        <v>82</v>
      </c>
      <c r="AW15">
        <v>77</v>
      </c>
      <c r="AX15">
        <v>85</v>
      </c>
      <c r="AY15">
        <v>79</v>
      </c>
      <c r="AZ15">
        <v>75</v>
      </c>
      <c r="BA15">
        <v>81</v>
      </c>
      <c r="BB15">
        <v>77</v>
      </c>
      <c r="BC15">
        <v>73</v>
      </c>
      <c r="BD15">
        <v>78</v>
      </c>
      <c r="BE15">
        <v>74</v>
      </c>
      <c r="BF15">
        <v>71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79</v>
      </c>
      <c r="K16">
        <v>71</v>
      </c>
      <c r="L16">
        <v>64</v>
      </c>
      <c r="M16">
        <v>77</v>
      </c>
      <c r="N16">
        <v>70</v>
      </c>
      <c r="O16">
        <v>63</v>
      </c>
      <c r="P16">
        <v>74</v>
      </c>
      <c r="Q16">
        <v>67</v>
      </c>
      <c r="R16">
        <v>62</v>
      </c>
      <c r="S16">
        <v>70</v>
      </c>
      <c r="T16">
        <v>65</v>
      </c>
      <c r="U16">
        <v>60</v>
      </c>
      <c r="V16">
        <v>68</v>
      </c>
      <c r="W16">
        <v>63</v>
      </c>
      <c r="X16">
        <v>59</v>
      </c>
      <c r="Z16">
        <v>3</v>
      </c>
      <c r="AA16">
        <v>79</v>
      </c>
      <c r="AB16">
        <v>71</v>
      </c>
      <c r="AC16">
        <v>65</v>
      </c>
      <c r="AD16">
        <v>78</v>
      </c>
      <c r="AE16">
        <v>70</v>
      </c>
      <c r="AF16">
        <v>64</v>
      </c>
      <c r="AG16">
        <v>74</v>
      </c>
      <c r="AH16">
        <v>68</v>
      </c>
      <c r="AI16">
        <v>63</v>
      </c>
      <c r="AJ16">
        <v>72</v>
      </c>
      <c r="AK16">
        <v>66</v>
      </c>
      <c r="AL16">
        <v>61</v>
      </c>
      <c r="AM16">
        <v>69</v>
      </c>
      <c r="AN16">
        <v>64</v>
      </c>
      <c r="AO16">
        <v>60</v>
      </c>
      <c r="AQ16">
        <v>3</v>
      </c>
      <c r="AR16">
        <v>80</v>
      </c>
      <c r="AS16">
        <v>71</v>
      </c>
      <c r="AT16">
        <v>65</v>
      </c>
      <c r="AU16">
        <v>78</v>
      </c>
      <c r="AV16">
        <v>70</v>
      </c>
      <c r="AW16">
        <v>64</v>
      </c>
      <c r="AX16">
        <v>75</v>
      </c>
      <c r="AY16">
        <v>68</v>
      </c>
      <c r="AZ16">
        <v>63</v>
      </c>
      <c r="BA16">
        <v>72</v>
      </c>
      <c r="BB16">
        <v>66</v>
      </c>
      <c r="BC16">
        <v>62</v>
      </c>
      <c r="BD16">
        <v>69</v>
      </c>
      <c r="BE16">
        <v>64</v>
      </c>
      <c r="BF16">
        <v>60</v>
      </c>
    </row>
    <row r="17" spans="1:63" x14ac:dyDescent="0.25">
      <c r="B17" t="s">
        <v>5</v>
      </c>
      <c r="C17" s="22">
        <v>70</v>
      </c>
      <c r="I17">
        <v>4</v>
      </c>
      <c r="J17">
        <v>70</v>
      </c>
      <c r="K17">
        <v>61</v>
      </c>
      <c r="L17">
        <v>55</v>
      </c>
      <c r="M17">
        <v>68</v>
      </c>
      <c r="N17">
        <v>60</v>
      </c>
      <c r="O17">
        <v>54</v>
      </c>
      <c r="P17">
        <v>66</v>
      </c>
      <c r="Q17">
        <v>58</v>
      </c>
      <c r="R17">
        <v>53</v>
      </c>
      <c r="S17">
        <v>63</v>
      </c>
      <c r="T17">
        <v>57</v>
      </c>
      <c r="U17">
        <v>52</v>
      </c>
      <c r="V17">
        <v>60</v>
      </c>
      <c r="W17">
        <v>55</v>
      </c>
      <c r="X17">
        <v>51</v>
      </c>
      <c r="Z17">
        <v>4</v>
      </c>
      <c r="AA17">
        <v>70</v>
      </c>
      <c r="AB17">
        <v>61</v>
      </c>
      <c r="AC17">
        <v>55</v>
      </c>
      <c r="AD17">
        <v>69</v>
      </c>
      <c r="AE17">
        <v>61</v>
      </c>
      <c r="AF17">
        <v>54</v>
      </c>
      <c r="AG17">
        <v>66</v>
      </c>
      <c r="AH17">
        <v>59</v>
      </c>
      <c r="AI17">
        <v>53</v>
      </c>
      <c r="AJ17">
        <v>64</v>
      </c>
      <c r="AK17">
        <v>58</v>
      </c>
      <c r="AL17">
        <v>53</v>
      </c>
      <c r="AM17">
        <v>61</v>
      </c>
      <c r="AN17">
        <v>56</v>
      </c>
      <c r="AO17">
        <v>52</v>
      </c>
      <c r="AQ17">
        <v>4</v>
      </c>
      <c r="AR17">
        <v>70</v>
      </c>
      <c r="AS17">
        <v>62</v>
      </c>
      <c r="AT17">
        <v>55</v>
      </c>
      <c r="AU17">
        <v>69</v>
      </c>
      <c r="AV17">
        <v>61</v>
      </c>
      <c r="AW17">
        <v>55</v>
      </c>
      <c r="AX17">
        <v>66</v>
      </c>
      <c r="AY17">
        <v>59</v>
      </c>
      <c r="AZ17">
        <v>54</v>
      </c>
      <c r="BA17">
        <v>64</v>
      </c>
      <c r="BB17">
        <v>58</v>
      </c>
      <c r="BC17">
        <v>53</v>
      </c>
      <c r="BD17">
        <v>62</v>
      </c>
      <c r="BE17">
        <v>56</v>
      </c>
      <c r="BF17">
        <v>52</v>
      </c>
    </row>
    <row r="18" spans="1:63" x14ac:dyDescent="0.25">
      <c r="B18" t="s">
        <v>6</v>
      </c>
      <c r="C18" s="22">
        <v>30</v>
      </c>
      <c r="I18">
        <v>5</v>
      </c>
      <c r="J18">
        <v>63</v>
      </c>
      <c r="K18">
        <v>54</v>
      </c>
      <c r="L18">
        <v>47</v>
      </c>
      <c r="M18">
        <v>61</v>
      </c>
      <c r="N18">
        <v>53</v>
      </c>
      <c r="O18">
        <v>47</v>
      </c>
      <c r="P18">
        <v>59</v>
      </c>
      <c r="Q18">
        <v>51</v>
      </c>
      <c r="R18">
        <v>46</v>
      </c>
      <c r="S18">
        <v>57</v>
      </c>
      <c r="T18">
        <v>50</v>
      </c>
      <c r="U18">
        <v>45</v>
      </c>
      <c r="V18">
        <v>54</v>
      </c>
      <c r="W18">
        <v>49</v>
      </c>
      <c r="X18">
        <v>44</v>
      </c>
      <c r="Z18">
        <v>5</v>
      </c>
      <c r="AA18">
        <v>63</v>
      </c>
      <c r="AB18">
        <v>54</v>
      </c>
      <c r="AC18">
        <v>47</v>
      </c>
      <c r="AD18">
        <v>62</v>
      </c>
      <c r="AE18">
        <v>53</v>
      </c>
      <c r="AF18">
        <v>47</v>
      </c>
      <c r="AG18">
        <v>59</v>
      </c>
      <c r="AH18">
        <v>52</v>
      </c>
      <c r="AI18">
        <v>46</v>
      </c>
      <c r="AJ18">
        <v>57</v>
      </c>
      <c r="AK18">
        <v>51</v>
      </c>
      <c r="AL18">
        <v>45</v>
      </c>
      <c r="AM18">
        <v>55</v>
      </c>
      <c r="AN18">
        <v>49</v>
      </c>
      <c r="AO18">
        <v>45</v>
      </c>
      <c r="AQ18">
        <v>5</v>
      </c>
      <c r="AR18">
        <v>63</v>
      </c>
      <c r="AS18">
        <v>54</v>
      </c>
      <c r="AT18">
        <v>47</v>
      </c>
      <c r="AU18">
        <v>62</v>
      </c>
      <c r="AV18">
        <v>53</v>
      </c>
      <c r="AW18">
        <v>47</v>
      </c>
      <c r="AX18">
        <v>59</v>
      </c>
      <c r="AY18">
        <v>52</v>
      </c>
      <c r="AZ18">
        <v>46</v>
      </c>
      <c r="BA18">
        <v>57</v>
      </c>
      <c r="BB18">
        <v>51</v>
      </c>
      <c r="BC18">
        <v>46</v>
      </c>
      <c r="BD18">
        <v>55</v>
      </c>
      <c r="BE18">
        <v>50</v>
      </c>
      <c r="BF18">
        <v>45</v>
      </c>
    </row>
    <row r="19" spans="1:63" x14ac:dyDescent="0.25">
      <c r="B19" t="s">
        <v>7</v>
      </c>
      <c r="C19">
        <v>20</v>
      </c>
      <c r="I19">
        <v>6</v>
      </c>
      <c r="J19">
        <v>56</v>
      </c>
      <c r="K19">
        <v>48</v>
      </c>
      <c r="L19">
        <v>41</v>
      </c>
      <c r="M19">
        <v>55</v>
      </c>
      <c r="N19">
        <v>47</v>
      </c>
      <c r="O19">
        <v>41</v>
      </c>
      <c r="P19">
        <v>53</v>
      </c>
      <c r="Q19">
        <v>46</v>
      </c>
      <c r="R19">
        <v>40</v>
      </c>
      <c r="S19">
        <v>51</v>
      </c>
      <c r="T19">
        <v>45</v>
      </c>
      <c r="U19">
        <v>40</v>
      </c>
      <c r="V19">
        <v>49</v>
      </c>
      <c r="W19">
        <v>44</v>
      </c>
      <c r="X19">
        <v>39</v>
      </c>
      <c r="Z19">
        <v>6</v>
      </c>
      <c r="AA19">
        <v>56</v>
      </c>
      <c r="AB19">
        <v>47</v>
      </c>
      <c r="AC19">
        <v>41</v>
      </c>
      <c r="AD19">
        <v>55</v>
      </c>
      <c r="AE19">
        <v>47</v>
      </c>
      <c r="AF19">
        <v>41</v>
      </c>
      <c r="AG19">
        <v>53</v>
      </c>
      <c r="AH19">
        <v>46</v>
      </c>
      <c r="AI19">
        <v>40</v>
      </c>
      <c r="AJ19">
        <v>52</v>
      </c>
      <c r="AK19">
        <v>45</v>
      </c>
      <c r="AL19">
        <v>40</v>
      </c>
      <c r="AM19">
        <v>50</v>
      </c>
      <c r="AN19">
        <v>44</v>
      </c>
      <c r="AO19">
        <v>39</v>
      </c>
      <c r="AQ19">
        <v>6</v>
      </c>
      <c r="AR19">
        <v>57</v>
      </c>
      <c r="AS19">
        <v>48</v>
      </c>
      <c r="AT19">
        <v>41</v>
      </c>
      <c r="AU19">
        <v>56</v>
      </c>
      <c r="AV19">
        <v>47</v>
      </c>
      <c r="AW19">
        <v>41</v>
      </c>
      <c r="AX19">
        <v>54</v>
      </c>
      <c r="AY19">
        <v>46</v>
      </c>
      <c r="AZ19">
        <v>41</v>
      </c>
      <c r="BA19">
        <v>52</v>
      </c>
      <c r="BB19">
        <v>45</v>
      </c>
      <c r="BC19">
        <v>40</v>
      </c>
      <c r="BD19">
        <v>50</v>
      </c>
      <c r="BE19">
        <v>44</v>
      </c>
      <c r="BF19">
        <v>40</v>
      </c>
    </row>
    <row r="20" spans="1:63" x14ac:dyDescent="0.25">
      <c r="I20">
        <v>7</v>
      </c>
      <c r="J20">
        <v>51</v>
      </c>
      <c r="K20">
        <v>42</v>
      </c>
      <c r="L20">
        <v>36</v>
      </c>
      <c r="M20">
        <v>50</v>
      </c>
      <c r="N20">
        <v>42</v>
      </c>
      <c r="O20">
        <v>36</v>
      </c>
      <c r="P20">
        <v>48</v>
      </c>
      <c r="Q20">
        <v>41</v>
      </c>
      <c r="R20">
        <v>36</v>
      </c>
      <c r="S20">
        <v>47</v>
      </c>
      <c r="T20">
        <v>40</v>
      </c>
      <c r="U20">
        <v>35</v>
      </c>
      <c r="V20">
        <v>45</v>
      </c>
      <c r="W20">
        <v>39</v>
      </c>
      <c r="X20">
        <v>35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42</v>
      </c>
      <c r="AF20">
        <v>36</v>
      </c>
      <c r="AG20">
        <v>49</v>
      </c>
      <c r="AH20">
        <v>41</v>
      </c>
      <c r="AI20">
        <v>36</v>
      </c>
      <c r="AJ20">
        <v>47</v>
      </c>
      <c r="AK20">
        <v>40</v>
      </c>
      <c r="AL20">
        <v>35</v>
      </c>
      <c r="AM20">
        <v>46</v>
      </c>
      <c r="AN20">
        <v>39</v>
      </c>
      <c r="AO20">
        <v>35</v>
      </c>
      <c r="AQ20">
        <v>7</v>
      </c>
      <c r="AR20">
        <v>51</v>
      </c>
      <c r="AS20">
        <v>43</v>
      </c>
      <c r="AT20">
        <v>36</v>
      </c>
      <c r="AU20">
        <v>50</v>
      </c>
      <c r="AV20">
        <v>42</v>
      </c>
      <c r="AW20">
        <v>36</v>
      </c>
      <c r="AX20">
        <v>49</v>
      </c>
      <c r="AY20">
        <v>41</v>
      </c>
      <c r="AZ20">
        <v>36</v>
      </c>
      <c r="BA20">
        <v>47</v>
      </c>
      <c r="BB20">
        <v>41</v>
      </c>
      <c r="BC20">
        <v>36</v>
      </c>
      <c r="BD20">
        <v>46</v>
      </c>
      <c r="BE20">
        <v>40</v>
      </c>
      <c r="BF20">
        <v>35</v>
      </c>
    </row>
    <row r="21" spans="1:63" x14ac:dyDescent="0.25">
      <c r="A21" s="2" t="s">
        <v>112</v>
      </c>
      <c r="B21" t="s">
        <v>107</v>
      </c>
      <c r="C21" s="22"/>
      <c r="E21" s="12" t="str">
        <f>IF(ISNUMBER(SEARCH("FA",C21)),"FA",IF(ISNUMBER(SEARCH("CA",C21)),"CA","CP"))</f>
        <v>CP</v>
      </c>
      <c r="I21">
        <v>8</v>
      </c>
      <c r="J21">
        <v>47</v>
      </c>
      <c r="K21">
        <v>38</v>
      </c>
      <c r="L21">
        <v>32</v>
      </c>
      <c r="M21">
        <v>46</v>
      </c>
      <c r="N21">
        <v>38</v>
      </c>
      <c r="O21">
        <v>32</v>
      </c>
      <c r="P21">
        <v>44</v>
      </c>
      <c r="Q21">
        <v>37</v>
      </c>
      <c r="R21">
        <v>32</v>
      </c>
      <c r="S21">
        <v>43</v>
      </c>
      <c r="T21">
        <v>36</v>
      </c>
      <c r="U21">
        <v>31</v>
      </c>
      <c r="V21">
        <v>41</v>
      </c>
      <c r="W21">
        <v>36</v>
      </c>
      <c r="X21">
        <v>31</v>
      </c>
      <c r="Z21">
        <v>8</v>
      </c>
      <c r="AA21">
        <v>47</v>
      </c>
      <c r="AB21">
        <v>38</v>
      </c>
      <c r="AC21">
        <v>32</v>
      </c>
      <c r="AD21">
        <v>46</v>
      </c>
      <c r="AE21">
        <v>38</v>
      </c>
      <c r="AF21">
        <v>32</v>
      </c>
      <c r="AG21">
        <v>44</v>
      </c>
      <c r="AH21">
        <v>37</v>
      </c>
      <c r="AI21">
        <v>32</v>
      </c>
      <c r="AJ21">
        <v>43</v>
      </c>
      <c r="AK21">
        <v>36</v>
      </c>
      <c r="AL21">
        <v>31</v>
      </c>
      <c r="AM21">
        <v>42</v>
      </c>
      <c r="AN21">
        <v>36</v>
      </c>
      <c r="AO21">
        <v>31</v>
      </c>
      <c r="AQ21">
        <v>8</v>
      </c>
      <c r="AR21">
        <v>47</v>
      </c>
      <c r="AS21">
        <v>38</v>
      </c>
      <c r="AT21">
        <v>32</v>
      </c>
      <c r="AU21">
        <v>46</v>
      </c>
      <c r="AV21">
        <v>38</v>
      </c>
      <c r="AW21">
        <v>32</v>
      </c>
      <c r="AX21">
        <v>45</v>
      </c>
      <c r="AY21">
        <v>37</v>
      </c>
      <c r="AZ21">
        <v>32</v>
      </c>
      <c r="BA21">
        <v>43</v>
      </c>
      <c r="BB21">
        <v>37</v>
      </c>
      <c r="BC21">
        <v>32</v>
      </c>
      <c r="BD21">
        <v>42</v>
      </c>
      <c r="BE21">
        <v>36</v>
      </c>
      <c r="BF21">
        <v>31</v>
      </c>
    </row>
    <row r="22" spans="1:63" x14ac:dyDescent="0.25">
      <c r="B22" t="s">
        <v>30</v>
      </c>
      <c r="C22" s="4" t="e">
        <f>VLOOKUP(C21,Model5237383[],2,0)</f>
        <v>#N/A</v>
      </c>
      <c r="D22" t="s">
        <v>131</v>
      </c>
      <c r="I22">
        <v>9</v>
      </c>
      <c r="J22">
        <v>43</v>
      </c>
      <c r="K22">
        <v>35</v>
      </c>
      <c r="L22">
        <v>29</v>
      </c>
      <c r="M22">
        <v>42</v>
      </c>
      <c r="N22">
        <v>34</v>
      </c>
      <c r="O22">
        <v>29</v>
      </c>
      <c r="P22">
        <v>41</v>
      </c>
      <c r="Q22">
        <v>34</v>
      </c>
      <c r="R22">
        <v>29</v>
      </c>
      <c r="S22">
        <v>39</v>
      </c>
      <c r="T22">
        <v>33</v>
      </c>
      <c r="U22">
        <v>28</v>
      </c>
      <c r="V22">
        <v>38</v>
      </c>
      <c r="W22">
        <v>32</v>
      </c>
      <c r="X22">
        <v>28</v>
      </c>
      <c r="Z22">
        <v>9</v>
      </c>
      <c r="AA22">
        <v>43</v>
      </c>
      <c r="AB22">
        <v>34</v>
      </c>
      <c r="AC22">
        <v>29</v>
      </c>
      <c r="AD22">
        <v>42</v>
      </c>
      <c r="AE22">
        <v>34</v>
      </c>
      <c r="AF22">
        <v>29</v>
      </c>
      <c r="AG22">
        <v>41</v>
      </c>
      <c r="AH22">
        <v>34</v>
      </c>
      <c r="AI22">
        <v>29</v>
      </c>
      <c r="AJ22">
        <v>40</v>
      </c>
      <c r="AK22">
        <v>33</v>
      </c>
      <c r="AL22">
        <v>28</v>
      </c>
      <c r="AM22">
        <v>39</v>
      </c>
      <c r="AN22">
        <v>33</v>
      </c>
      <c r="AO22">
        <v>28</v>
      </c>
      <c r="AQ22">
        <v>9</v>
      </c>
      <c r="AR22">
        <v>43</v>
      </c>
      <c r="AS22">
        <v>35</v>
      </c>
      <c r="AT22">
        <v>29</v>
      </c>
      <c r="AU22">
        <v>42</v>
      </c>
      <c r="AV22">
        <v>34</v>
      </c>
      <c r="AW22">
        <v>29</v>
      </c>
      <c r="AX22">
        <v>41</v>
      </c>
      <c r="AY22">
        <v>34</v>
      </c>
      <c r="AZ22">
        <v>29</v>
      </c>
      <c r="BA22">
        <v>40</v>
      </c>
      <c r="BB22">
        <v>33</v>
      </c>
      <c r="BC22">
        <v>29</v>
      </c>
      <c r="BD22">
        <v>39</v>
      </c>
      <c r="BE22">
        <v>33</v>
      </c>
      <c r="BF22">
        <v>28</v>
      </c>
    </row>
    <row r="23" spans="1:63" x14ac:dyDescent="0.25">
      <c r="B23" t="s">
        <v>31</v>
      </c>
      <c r="C23" t="e">
        <f>VLOOKUP(C21,Model5237383[],3,FALSE)</f>
        <v>#N/A</v>
      </c>
      <c r="D23" t="s">
        <v>132</v>
      </c>
      <c r="I23">
        <v>10</v>
      </c>
      <c r="J23">
        <v>40</v>
      </c>
      <c r="K23">
        <v>32</v>
      </c>
      <c r="L23">
        <v>26</v>
      </c>
      <c r="M23">
        <v>39</v>
      </c>
      <c r="N23">
        <v>31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30</v>
      </c>
      <c r="U23">
        <v>26</v>
      </c>
      <c r="V23">
        <v>36</v>
      </c>
      <c r="W23">
        <v>30</v>
      </c>
      <c r="X23">
        <v>26</v>
      </c>
      <c r="Z23">
        <v>10</v>
      </c>
      <c r="AA23">
        <v>39</v>
      </c>
      <c r="AB23">
        <v>31</v>
      </c>
      <c r="AC23">
        <v>26</v>
      </c>
      <c r="AD23">
        <v>39</v>
      </c>
      <c r="AE23">
        <v>31</v>
      </c>
      <c r="AF23">
        <v>26</v>
      </c>
      <c r="AG23">
        <v>38</v>
      </c>
      <c r="AH23">
        <v>31</v>
      </c>
      <c r="AI23">
        <v>26</v>
      </c>
      <c r="AJ23">
        <v>37</v>
      </c>
      <c r="AK23">
        <v>30</v>
      </c>
      <c r="AL23">
        <v>26</v>
      </c>
      <c r="AM23">
        <v>36</v>
      </c>
      <c r="AN23">
        <v>30</v>
      </c>
      <c r="AO23">
        <v>26</v>
      </c>
      <c r="AQ23">
        <v>10</v>
      </c>
      <c r="AR23">
        <v>40</v>
      </c>
      <c r="AS23">
        <v>32</v>
      </c>
      <c r="AT23">
        <v>26</v>
      </c>
      <c r="AU23">
        <v>39</v>
      </c>
      <c r="AV23">
        <v>31</v>
      </c>
      <c r="AW23">
        <v>26</v>
      </c>
      <c r="AX23">
        <v>38</v>
      </c>
      <c r="AY23">
        <v>31</v>
      </c>
      <c r="AZ23">
        <v>26</v>
      </c>
      <c r="BA23">
        <v>37</v>
      </c>
      <c r="BB23">
        <v>30</v>
      </c>
      <c r="BC23">
        <v>26</v>
      </c>
      <c r="BD23">
        <v>36</v>
      </c>
      <c r="BE23">
        <v>30</v>
      </c>
      <c r="BF23">
        <v>26</v>
      </c>
    </row>
    <row r="24" spans="1:63" x14ac:dyDescent="0.25">
      <c r="B24" t="s">
        <v>3</v>
      </c>
      <c r="C24" s="11" t="e">
        <f t="array" ref="C24">INDEX(CUtable4227282[],MATCH(1,(CUtable4227282[RC]=C17)*(CUtable4227282[RW]=C18)*(CUtable4227282[Lens]=E21),0),4)</f>
        <v>#DIV/0!</v>
      </c>
      <c r="H24" s="5"/>
    </row>
    <row r="25" spans="1:63" x14ac:dyDescent="0.25">
      <c r="B25" t="s">
        <v>133</v>
      </c>
      <c r="C25" s="11">
        <f>VLOOKUP(E21,Table81217277787[],2,FALSE)</f>
        <v>1.28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</row>
    <row r="26" spans="1:63" x14ac:dyDescent="0.25">
      <c r="B26" t="s">
        <v>134</v>
      </c>
      <c r="C26" s="11">
        <f>VLOOKUP(E21,Table81217277787[],3,FALSE)</f>
        <v>1.3</v>
      </c>
      <c r="H26" s="5"/>
      <c r="I26" t="s">
        <v>218</v>
      </c>
      <c r="J26">
        <f>INDEX(LINEST(TablePBL7181[CU],TablePBL7181[RCR]^{1,2,3}),1)</f>
        <v>-3.7684537684537882E-2</v>
      </c>
      <c r="K26">
        <f>INDEX(LINEST(TablePBL7181[CU1],TablePBL7181[RCR]^{1,2,3}),1)</f>
        <v>-7.0512820512820901E-2</v>
      </c>
      <c r="L26">
        <f>INDEX(LINEST(TablePBL7181[CU2],TablePBL7181[RCR]^{1,2,3}),1)</f>
        <v>-0.10489510489510559</v>
      </c>
      <c r="M26">
        <f>INDEX(LINEST(TablePBL7181[CU3],TablePBL7181[RCR]^{1,2,3}),1)</f>
        <v>-3.9821289821289928E-2</v>
      </c>
      <c r="N26">
        <f>INDEX(LINEST(TablePBL7181[CU4],TablePBL7181[RCR]^{1,2,3}),1)</f>
        <v>-7.3038073038073428E-2</v>
      </c>
      <c r="O26">
        <f>INDEX(LINEST(TablePBL7181[CU5],TablePBL7181[RCR]^{1,2,3}),1)</f>
        <v>-0.1000388500388506</v>
      </c>
      <c r="P26">
        <f>INDEX(LINEST(TablePBL7181[CU6],TablePBL7181[RCR]^{1,2,3}),1)</f>
        <v>-3.2634032634032695E-2</v>
      </c>
      <c r="Q26">
        <f>INDEX(LINEST(TablePBL7181[CU7],TablePBL7181[RCR]^{1,2,3}),1)</f>
        <v>-6.2937062937062943E-2</v>
      </c>
      <c r="R26">
        <f>INDEX(LINEST(TablePBL7181[CU8],TablePBL7181[RCR]^{1,2,3}),1)</f>
        <v>-8.2750582750582904E-2</v>
      </c>
      <c r="S26">
        <f>INDEX(LINEST(TablePBL7181[CU9],TablePBL7181[RCR]^{1,2,3}),1)</f>
        <v>-3.6324786324786487E-2</v>
      </c>
      <c r="T26">
        <f>INDEX(LINEST(TablePBL7181[CU10],TablePBL7181[RCR]^{1,2,3}),1)</f>
        <v>-5.6138306138306379E-2</v>
      </c>
      <c r="U26">
        <f>INDEX(LINEST(TablePBL7181[CU11],TablePBL7181[RCR]^{1,2,3}),1)</f>
        <v>-7.1678321678321846E-2</v>
      </c>
      <c r="V26">
        <f>INDEX(LINEST(TablePBL7181[CU12],TablePBL7181[RCR]^{1,2,3}),1)</f>
        <v>-2.7777777777777866E-2</v>
      </c>
      <c r="W26">
        <f>INDEX(LINEST(TablePBL7181[CU13],TablePBL7181[RCR]^{1,2,3}),1)</f>
        <v>-4.50660450660453E-2</v>
      </c>
      <c r="X26">
        <f>INDEX(LINEST(TablePBL7181[CU14],TablePBL7181[RCR]^{1,2,3}),1)</f>
        <v>-5.9052059052059326E-2</v>
      </c>
      <c r="Z26" t="s">
        <v>218</v>
      </c>
      <c r="AA26">
        <f>INDEX(LINEST(TablePBLFR7888[CU],TablePBLFR7888[RCR]^{1,2,3}),1)</f>
        <v>-4.8174048174048571E-2</v>
      </c>
      <c r="AB26">
        <f>INDEX(LINEST(TablePBLFR7888[CU1],TablePBLFR7888[RCR]^{1,2,3}),1)</f>
        <v>-7.7117327117327328E-2</v>
      </c>
      <c r="AC26">
        <f>INDEX(LINEST(TablePBLFR7888[CU2],TablePBLFR7888[RCR]^{1,2,3}),1)</f>
        <v>-0.10081585081585134</v>
      </c>
      <c r="AD26">
        <f>INDEX(LINEST(TablePBLFR7888[CU3],TablePBLFR7888[RCR]^{1,2,3}),1)</f>
        <v>-3.7296037296037643E-2</v>
      </c>
      <c r="AE26">
        <f>INDEX(LINEST(TablePBLFR7888[CU4],TablePBLFR7888[RCR]^{1,2,3}),1)</f>
        <v>-7.0707070707071037E-2</v>
      </c>
      <c r="AF26">
        <f>INDEX(LINEST(TablePBLFR7888[CU5],TablePBLFR7888[RCR]^{1,2,3}),1)</f>
        <v>-9.5959595959596231E-2</v>
      </c>
      <c r="AG26">
        <f>INDEX(LINEST(TablePBLFR7888[CU6],TablePBLFR7888[RCR]^{1,2,3}),1)</f>
        <v>-3.2051282051282347E-2</v>
      </c>
      <c r="AH26">
        <f>INDEX(LINEST(TablePBLFR7888[CU7],TablePBLFR7888[RCR]^{1,2,3}),1)</f>
        <v>-5.6138306138306317E-2</v>
      </c>
      <c r="AI26">
        <f>INDEX(LINEST(TablePBLFR7888[CU8],TablePBLFR7888[RCR]^{1,2,3}),1)</f>
        <v>-7.8671328671328866E-2</v>
      </c>
      <c r="AJ26">
        <f>INDEX(LINEST(TablePBLFR7888[CU9],TablePBLFR7888[RCR]^{1,2,3}),1)</f>
        <v>-2.7777777777778102E-2</v>
      </c>
      <c r="AK26">
        <f>INDEX(LINEST(TablePBLFR7888[CU10],TablePBLFR7888[RCR]^{1,2,3}),1)</f>
        <v>-4.390054390054407E-2</v>
      </c>
      <c r="AL26">
        <f>INDEX(LINEST(TablePBLFR7888[CU11],TablePBLFR7888[RCR]^{1,2,3}),1)</f>
        <v>-6.0606060606060753E-2</v>
      </c>
      <c r="AM26">
        <f>INDEX(LINEST(TablePBLFR7888[CU12],TablePBLFR7888[RCR]^{1,2,3}),1)</f>
        <v>-3.3993783993784034E-2</v>
      </c>
      <c r="AN26">
        <f>INDEX(LINEST(TablePBLFR7888[CU13],TablePBLFR7888[RCR]^{1,2,3}),1)</f>
        <v>-4.4094794094794554E-2</v>
      </c>
      <c r="AO26">
        <f>INDEX(LINEST(TablePBLFR7888[CU14],TablePBLFR7888[RCR]^{1,2,3}),1)</f>
        <v>-5.2641802641802869E-2</v>
      </c>
      <c r="AQ26" t="s">
        <v>218</v>
      </c>
      <c r="AR26">
        <f>INDEX(LINEST(Table1x4308090[CU],Table1x4308090[RCR]^{1,2,3}),1)</f>
        <v>-4.0598290598291106E-2</v>
      </c>
      <c r="AS26">
        <f>INDEX(LINEST(Table1x4308090[CU1],Table1x4308090[RCR]^{1,2,3}),1)</f>
        <v>-7.264957264957303E-2</v>
      </c>
      <c r="AT26">
        <f>INDEX(LINEST(Table1x4308090[CU2],Table1x4308090[RCR]^{1,2,3}),1)</f>
        <v>-0.10081585081585134</v>
      </c>
      <c r="AU26">
        <f>INDEX(LINEST(Table1x4308090[CU3],Table1x4308090[RCR]^{1,2,3}),1)</f>
        <v>-4.0015540015540516E-2</v>
      </c>
      <c r="AV26">
        <f>INDEX(LINEST(Table1x4308090[CU4],Table1x4308090[RCR]^{1,2,3}),1)</f>
        <v>-7.0707070707071037E-2</v>
      </c>
      <c r="AW26">
        <f>INDEX(LINEST(Table1x4308090[CU5],Table1x4308090[RCR]^{1,2,3}),1)</f>
        <v>-9.3240093240093552E-2</v>
      </c>
      <c r="AX26">
        <f>INDEX(LINEST(Table1x4308090[CU6],Table1x4308090[RCR]^{1,2,3}),1)</f>
        <v>-3.4576534576534715E-2</v>
      </c>
      <c r="AY26">
        <f>INDEX(LINEST(Table1x4308090[CU7],Table1x4308090[RCR]^{1,2,3}),1)</f>
        <v>-5.6138306138306317E-2</v>
      </c>
      <c r="AZ26">
        <f>INDEX(LINEST(Table1x4308090[CU8],Table1x4308090[RCR]^{1,2,3}),1)</f>
        <v>-7.7505827505827921E-2</v>
      </c>
      <c r="BA26">
        <f>INDEX(LINEST(Table1x4308090[CU9],Table1x4308090[RCR]^{1,2,3}),1)</f>
        <v>-2.7777777777778102E-2</v>
      </c>
      <c r="BB26">
        <f>INDEX(LINEST(Table1x4308090[CU10],Table1x4308090[RCR]^{1,2,3}),1)</f>
        <v>-5.2641802641802946E-2</v>
      </c>
      <c r="BC26">
        <f>INDEX(LINEST(Table1x4308090[CU11],Table1x4308090[RCR]^{1,2,3}),1)</f>
        <v>-6.4879564879565241E-2</v>
      </c>
      <c r="BD26">
        <f>INDEX(LINEST(Table1x4308090[CU12],Table1x4308090[RCR]^{1,2,3}),1)</f>
        <v>-3.1274281274281585E-2</v>
      </c>
      <c r="BE26">
        <f>INDEX(LINEST(Table1x4308090[CU13],Table1x4308090[RCR]^{1,2,3}),1)</f>
        <v>-4.8562548562548893E-2</v>
      </c>
      <c r="BF26">
        <f>INDEX(LINEST(Table1x4308090[CU14],Table1x4308090[RCR]^{1,2,3}),1)</f>
        <v>-5.5361305361305589E-2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INDEX(LINEST(TablePBL7181[CU],TablePBL7181[RCR]^{1,2,3}),1,2)</f>
        <v>1.2237762237762262</v>
      </c>
      <c r="K27">
        <f>INDEX(LINEST(TablePBL7181[CU1],TablePBL7181[RCR]^{1,2,3}),1,2)</f>
        <v>1.9061771561771612</v>
      </c>
      <c r="L27">
        <f>INDEX(LINEST(TablePBL7181[CU2],TablePBL7181[RCR]^{1,2,3}),1,2)</f>
        <v>2.5699300699300798</v>
      </c>
      <c r="M27">
        <f>INDEX(LINEST(TablePBL7181[CU3],TablePBL7181[RCR]^{1,2,3}),1,2)</f>
        <v>1.2371794871794883</v>
      </c>
      <c r="N27">
        <f>INDEX(LINEST(TablePBL7181[CU4],TablePBL7181[RCR]^{1,2,3}),1,2)</f>
        <v>1.8951048951048999</v>
      </c>
      <c r="O27">
        <f>INDEX(LINEST(TablePBL7181[CU5],TablePBL7181[RCR]^{1,2,3}),1,2)</f>
        <v>2.4562937062937142</v>
      </c>
      <c r="P27">
        <f>INDEX(LINEST(TablePBL7181[CU6],TablePBL7181[RCR]^{1,2,3}),1,2)</f>
        <v>1.0734265734265733</v>
      </c>
      <c r="Q27">
        <f>INDEX(LINEST(TablePBL7181[CU7],TablePBL7181[RCR]^{1,2,3}),1,2)</f>
        <v>1.6981351981351975</v>
      </c>
      <c r="R27">
        <f>INDEX(LINEST(TablePBL7181[CU8],TablePBL7181[RCR]^{1,2,3}),1,2)</f>
        <v>2.1060606060606077</v>
      </c>
      <c r="S27">
        <f>INDEX(LINEST(TablePBL7181[CU9],TablePBL7181[RCR]^{1,2,3}),1,2)</f>
        <v>1.0973193473193492</v>
      </c>
      <c r="T27">
        <f>INDEX(LINEST(TablePBL7181[CU10],TablePBL7181[RCR]^{1,2,3}),1,2)</f>
        <v>1.5145687645687678</v>
      </c>
      <c r="U27">
        <f>INDEX(LINEST(TablePBL7181[CU11],TablePBL7181[RCR]^{1,2,3}),1,2)</f>
        <v>1.8723776223776234</v>
      </c>
      <c r="V27">
        <f>INDEX(LINEST(TablePBL7181[CU12],TablePBL7181[RCR]^{1,2,3}),1,2)</f>
        <v>0.95163170163170208</v>
      </c>
      <c r="W27">
        <f>INDEX(LINEST(TablePBL7181[CU13],TablePBL7181[RCR]^{1,2,3}),1,2)</f>
        <v>1.2995337995338023</v>
      </c>
      <c r="X27">
        <f>INDEX(LINEST(TablePBL7181[CU14],TablePBL7181[RCR]^{1,2,3}),1,2)</f>
        <v>1.6165501165501202</v>
      </c>
      <c r="Z27" t="s">
        <v>219</v>
      </c>
      <c r="AA27">
        <f>INDEX(LINEST(TablePBLFR7888[CU],TablePBLFR7888[RCR]^{1,2,3}),1,2)</f>
        <v>1.3881118881118932</v>
      </c>
      <c r="AB27">
        <f>INDEX(LINEST(TablePBLFR7888[CU1],TablePBLFR7888[RCR]^{1,2,3}),1,2)</f>
        <v>2.0157342657342681</v>
      </c>
      <c r="AC27">
        <f>INDEX(LINEST(TablePBLFR7888[CU2],TablePBLFR7888[RCR]^{1,2,3}),1,2)</f>
        <v>2.525058275058282</v>
      </c>
      <c r="AD27">
        <f>INDEX(LINEST(TablePBLFR7888[CU3],TablePBLFR7888[RCR]^{1,2,3}),1,2)</f>
        <v>1.1946386946386993</v>
      </c>
      <c r="AE27">
        <f>INDEX(LINEST(TablePBLFR7888[CU4],TablePBLFR7888[RCR]^{1,2,3}),1,2)</f>
        <v>1.8729603729603772</v>
      </c>
      <c r="AF27">
        <f>INDEX(LINEST(TablePBLFR7888[CU5],TablePBLFR7888[RCR]^{1,2,3}),1,2)</f>
        <v>2.4114219114219146</v>
      </c>
      <c r="AG27">
        <f>INDEX(LINEST(TablePBLFR7888[CU6],TablePBLFR7888[RCR]^{1,2,3}),1,2)</f>
        <v>1.0868298368298406</v>
      </c>
      <c r="AH27">
        <f>INDEX(LINEST(TablePBLFR7888[CU7],TablePBLFR7888[RCR]^{1,2,3}),1,2)</f>
        <v>1.5903263403263415</v>
      </c>
      <c r="AI27">
        <f>INDEX(LINEST(TablePBLFR7888[CU8],TablePBLFR7888[RCR]^{1,2,3}),1,2)</f>
        <v>2.061188811188813</v>
      </c>
      <c r="AJ27">
        <f>INDEX(LINEST(TablePBLFR7888[CU9],TablePBLFR7888[RCR]^{1,2,3}),1,2)</f>
        <v>0.97144522144522616</v>
      </c>
      <c r="AK27">
        <f>INDEX(LINEST(TablePBLFR7888[CU10],TablePBLFR7888[RCR]^{1,2,3}),1,2)</f>
        <v>1.3310023310023333</v>
      </c>
      <c r="AL27">
        <f>INDEX(LINEST(TablePBLFR7888[CU11],TablePBLFR7888[RCR]^{1,2,3}),1,2)</f>
        <v>1.7109557109557121</v>
      </c>
      <c r="AM27">
        <f>INDEX(LINEST(TablePBLFR7888[CU12],TablePBLFR7888[RCR]^{1,2,3}),1,2)</f>
        <v>1.0506993006993004</v>
      </c>
      <c r="AN27">
        <f>INDEX(LINEST(TablePBLFR7888[CU13],TablePBLFR7888[RCR]^{1,2,3}),1,2)</f>
        <v>1.3222610722610788</v>
      </c>
      <c r="AO27">
        <f>INDEX(LINEST(TablePBLFR7888[CU14],TablePBLFR7888[RCR]^{1,2,3}),1,2)</f>
        <v>1.5378787878787907</v>
      </c>
      <c r="AQ27" t="s">
        <v>219</v>
      </c>
      <c r="AR27">
        <f>INDEX(LINEST(Table1x4308090[CU],Table1x4308090[RCR]^{1,2,3}),1,2)</f>
        <v>1.2744755244755319</v>
      </c>
      <c r="AS27">
        <f>INDEX(LINEST(Table1x4308090[CU1],Table1x4308090[RCR]^{1,2,3}),1,2)</f>
        <v>1.9440559440559499</v>
      </c>
      <c r="AT27">
        <f>INDEX(LINEST(Table1x4308090[CU2],Table1x4308090[RCR]^{1,2,3}),1,2)</f>
        <v>2.525058275058282</v>
      </c>
      <c r="AU27">
        <f>INDEX(LINEST(Table1x4308090[CU3],Table1x4308090[RCR]^{1,2,3}),1,2)</f>
        <v>1.2249417249417325</v>
      </c>
      <c r="AV27">
        <f>INDEX(LINEST(Table1x4308090[CU4],Table1x4308090[RCR]^{1,2,3}),1,2)</f>
        <v>1.8729603729603772</v>
      </c>
      <c r="AW27">
        <f>INDEX(LINEST(Table1x4308090[CU5],Table1x4308090[RCR]^{1,2,3}),1,2)</f>
        <v>2.3601398601398635</v>
      </c>
      <c r="AX27">
        <f>INDEX(LINEST(Table1x4308090[CU6],Table1x4308090[RCR]^{1,2,3}),1,2)</f>
        <v>1.1060606060606073</v>
      </c>
      <c r="AY27">
        <f>INDEX(LINEST(Table1x4308090[CU7],Table1x4308090[RCR]^{1,2,3}),1,2)</f>
        <v>1.5903263403263415</v>
      </c>
      <c r="AZ27">
        <f>INDEX(LINEST(Table1x4308090[CU8],Table1x4308090[RCR]^{1,2,3}),1,2)</f>
        <v>2.0297202797202853</v>
      </c>
      <c r="BA27">
        <f>INDEX(LINEST(Table1x4308090[CU9],Table1x4308090[RCR]^{1,2,3}),1,2)</f>
        <v>0.97144522144522616</v>
      </c>
      <c r="BB27">
        <f>INDEX(LINEST(Table1x4308090[CU10],Table1x4308090[RCR]^{1,2,3}),1,2)</f>
        <v>1.4539627039627072</v>
      </c>
      <c r="BC27">
        <f>INDEX(LINEST(Table1x4308090[CU11],Table1x4308090[RCR]^{1,2,3}),1,2)</f>
        <v>1.7622377622377672</v>
      </c>
      <c r="BD27">
        <f>INDEX(LINEST(Table1x4308090[CU12],Table1x4308090[RCR]^{1,2,3}),1,2)</f>
        <v>0.99941724941725407</v>
      </c>
      <c r="BE27">
        <f>INDEX(LINEST(Table1x4308090[CU13],Table1x4308090[RCR]^{1,2,3}),1,2)</f>
        <v>1.3706293706293751</v>
      </c>
      <c r="BF27">
        <f>INDEX(LINEST(Table1x4308090[CU14],Table1x4308090[RCR]^{1,2,3}),1,2)</f>
        <v>1.5681818181818208</v>
      </c>
    </row>
    <row r="28" spans="1:63" x14ac:dyDescent="0.25">
      <c r="C28" s="3"/>
      <c r="H28" s="5"/>
      <c r="I28" t="s">
        <v>220</v>
      </c>
      <c r="J28">
        <f t="array" ref="J28">INDEX(LINEST(TablePBL7181[CU],TablePBL7181[RCR]^{1,2,3}),1,3)</f>
        <v>-16.277000777000779</v>
      </c>
      <c r="K28">
        <f>INDEX(LINEST(TablePBL7181[CU1],TablePBL7181[RCR]^{1,2,3}),1,3)</f>
        <v>-20.590909090909104</v>
      </c>
      <c r="L28">
        <f>INDEX(LINEST(TablePBL7181[CU2],TablePBL7181[RCR]^{1,2,3}),1,3)</f>
        <v>-24.374125874125909</v>
      </c>
      <c r="M28">
        <f>INDEX(LINEST(TablePBL7181[CU3],TablePBL7181[RCR]^{1,2,3}),1,3)</f>
        <v>-15.994560994560992</v>
      </c>
      <c r="N28">
        <f>INDEX(LINEST(TablePBL7181[CU4],TablePBL7181[RCR]^{1,2,3}),1,3)</f>
        <v>-20.045843045843057</v>
      </c>
      <c r="O28">
        <f>INDEX(LINEST(TablePBL7181[CU5],TablePBL7181[RCR]^{1,2,3}),1,3)</f>
        <v>-23.461149961149985</v>
      </c>
      <c r="P28">
        <f>INDEX(LINEST(TablePBL7181[CU6],TablePBL7181[RCR]^{1,2,3}),1,3)</f>
        <v>-14.55128205128204</v>
      </c>
      <c r="Q28">
        <f>INDEX(LINEST(TablePBL7181[CU7],TablePBL7181[RCR]^{1,2,3}),1,3)</f>
        <v>-18.495337995337984</v>
      </c>
      <c r="R28">
        <f>INDEX(LINEST(TablePBL7181[CU8],TablePBL7181[RCR]^{1,2,3}),1,3)</f>
        <v>-21.072261072261071</v>
      </c>
      <c r="S28">
        <f>INDEX(LINEST(TablePBL7181[CU9],TablePBL7181[RCR]^{1,2,3}),1,3)</f>
        <v>-14.074980574980577</v>
      </c>
      <c r="T28">
        <f>INDEX(LINEST(TablePBL7181[CU10],TablePBL7181[RCR]^{1,2,3}),1,3)</f>
        <v>-16.926961926961933</v>
      </c>
      <c r="U28">
        <f>INDEX(LINEST(TablePBL7181[CU11],TablePBL7181[RCR]^{1,2,3}),1,3)</f>
        <v>-19.381118881118873</v>
      </c>
      <c r="V28">
        <f>INDEX(LINEST(TablePBL7181[CU12],TablePBL7181[RCR]^{1,2,3}),1,3)</f>
        <v>-13.056721056721051</v>
      </c>
      <c r="W28">
        <f>INDEX(LINEST(TablePBL7181[CU13],TablePBL7181[RCR]^{1,2,3}),1,3)</f>
        <v>-15.422299922299928</v>
      </c>
      <c r="X28">
        <f>INDEX(LINEST(TablePBL7181[CU14],TablePBL7181[RCR]^{1,2,3}),1,3)</f>
        <v>-17.585470085470092</v>
      </c>
      <c r="Z28" t="s">
        <v>220</v>
      </c>
      <c r="AA28">
        <f>INDEX(LINEST(TablePBLFR7888[CU],TablePBLFR7888[RCR]^{1,2,3}),1,3)</f>
        <v>-17.07420357420359</v>
      </c>
      <c r="AB28">
        <f>INDEX(LINEST(TablePBLFR7888[CU1],TablePBLFR7888[RCR]^{1,2,3}),1,3)</f>
        <v>-21.246309246309245</v>
      </c>
      <c r="AC28">
        <f>INDEX(LINEST(TablePBLFR7888[CU2],TablePBLFR7888[RCR]^{1,2,3}),1,3)</f>
        <v>-24.43123543123545</v>
      </c>
      <c r="AD28">
        <f>INDEX(LINEST(TablePBLFR7888[CU3],TablePBLFR7888[RCR]^{1,2,3}),1,3)</f>
        <v>-15.912587412587426</v>
      </c>
      <c r="AE28">
        <f>INDEX(LINEST(TablePBLFR7888[CU4],TablePBLFR7888[RCR]^{1,2,3}),1,3)</f>
        <v>-20.158896658896669</v>
      </c>
      <c r="AF28">
        <f>INDEX(LINEST(TablePBLFR7888[CU5],TablePBLFR7888[RCR]^{1,2,3}),1,3)</f>
        <v>-23.518259518259519</v>
      </c>
      <c r="AG28">
        <f>INDEX(LINEST(TablePBLFR7888[CU6],TablePBLFR7888[RCR]^{1,2,3}),1,3)</f>
        <v>-14.893939393939403</v>
      </c>
      <c r="AH28">
        <f>INDEX(LINEST(TablePBLFR7888[CU7],TablePBLFR7888[RCR]^{1,2,3}),1,3)</f>
        <v>-18.184537684537677</v>
      </c>
      <c r="AI28">
        <f>INDEX(LINEST(TablePBLFR7888[CU8],TablePBLFR7888[RCR]^{1,2,3}),1,3)</f>
        <v>-21.129370629370626</v>
      </c>
      <c r="AJ28">
        <f>INDEX(LINEST(TablePBLFR7888[CU9],TablePBLFR7888[RCR]^{1,2,3}),1,3)</f>
        <v>-13.75485625485627</v>
      </c>
      <c r="AK28">
        <f>INDEX(LINEST(TablePBLFR7888[CU10],TablePBLFR7888[RCR]^{1,2,3}),1,3)</f>
        <v>-16.42696192696193</v>
      </c>
      <c r="AL28">
        <f>INDEX(LINEST(TablePBLFR7888[CU11],TablePBLFR7888[RCR]^{1,2,3}),1,3)</f>
        <v>-18.958041958041953</v>
      </c>
      <c r="AM28">
        <f>INDEX(LINEST(TablePBLFR7888[CU12],TablePBLFR7888[RCR]^{1,2,3}),1,3)</f>
        <v>-13.625097125097115</v>
      </c>
      <c r="AN28">
        <f>INDEX(LINEST(TablePBLFR7888[CU13],TablePBLFR7888[RCR]^{1,2,3}),1,3)</f>
        <v>-15.921522921522945</v>
      </c>
      <c r="AO28">
        <f>INDEX(LINEST(TablePBLFR7888[CU14],TablePBLFR7888[RCR]^{1,2,3}),1,3)</f>
        <v>-17.639083139083144</v>
      </c>
      <c r="AQ28" t="s">
        <v>220</v>
      </c>
      <c r="AR28">
        <f>INDEX(LINEST(Table1x4308090[CU],Table1x4308090[RCR]^{1,2,3}),1,3)</f>
        <v>-16.604506604506632</v>
      </c>
      <c r="AS28">
        <f>INDEX(LINEST(Table1x4308090[CU1],Table1x4308090[RCR]^{1,2,3}),1,3)</f>
        <v>-20.87140637140639</v>
      </c>
      <c r="AT28">
        <f>INDEX(LINEST(Table1x4308090[CU2],Table1x4308090[RCR]^{1,2,3}),1,3)</f>
        <v>-24.43123543123545</v>
      </c>
      <c r="AU28">
        <f>INDEX(LINEST(Table1x4308090[CU3],Table1x4308090[RCR]^{1,2,3}),1,3)</f>
        <v>-15.95415695415698</v>
      </c>
      <c r="AV28">
        <f>INDEX(LINEST(Table1x4308090[CU4],Table1x4308090[RCR]^{1,2,3}),1,3)</f>
        <v>-20.158896658896669</v>
      </c>
      <c r="AW28">
        <f>INDEX(LINEST(Table1x4308090[CU5],Table1x4308090[RCR]^{1,2,3}),1,3)</f>
        <v>-23.266899766899765</v>
      </c>
      <c r="AX28">
        <f>INDEX(LINEST(Table1x4308090[CU6],Table1x4308090[RCR]^{1,2,3}),1,3)</f>
        <v>-14.83372183372183</v>
      </c>
      <c r="AY28">
        <f>INDEX(LINEST(Table1x4308090[CU7],Table1x4308090[RCR]^{1,2,3}),1,3)</f>
        <v>-18.184537684537677</v>
      </c>
      <c r="AZ28">
        <f>INDEX(LINEST(Table1x4308090[CU8],Table1x4308090[RCR]^{1,2,3}),1,3)</f>
        <v>-20.959207459207473</v>
      </c>
      <c r="BA28">
        <f>INDEX(LINEST(Table1x4308090[CU9],Table1x4308090[RCR]^{1,2,3}),1,3)</f>
        <v>-13.75485625485627</v>
      </c>
      <c r="BB28">
        <f>INDEX(LINEST(Table1x4308090[CU10],Table1x4308090[RCR]^{1,2,3}),1,3)</f>
        <v>-16.799922299922301</v>
      </c>
      <c r="BC28">
        <f>INDEX(LINEST(Table1x4308090[CU11],Table1x4308090[RCR]^{1,2,3}),1,3)</f>
        <v>-19.047008547008563</v>
      </c>
      <c r="BD28">
        <f>INDEX(LINEST(Table1x4308090[CU12],Table1x4308090[RCR]^{1,2,3}),1,3)</f>
        <v>-13.373737373737391</v>
      </c>
      <c r="BE28">
        <f>INDEX(LINEST(Table1x4308090[CU13],Table1x4308090[RCR]^{1,2,3}),1,3)</f>
        <v>-15.972416472416482</v>
      </c>
      <c r="BF28">
        <f>INDEX(LINEST(Table1x4308090[CU14],Table1x4308090[RCR]^{1,2,3}),1,3)</f>
        <v>-17.680652680652681</v>
      </c>
    </row>
    <row r="29" spans="1:63" x14ac:dyDescent="0.25">
      <c r="C29" s="3"/>
      <c r="H29" s="5"/>
      <c r="I29" t="s">
        <v>221</v>
      </c>
      <c r="J29">
        <f>INDEX(LINEST(TablePBL7181[CU],TablePBL7181[RCR]^{1,2,3}),1,4)</f>
        <v>118.00699300699299</v>
      </c>
      <c r="K29">
        <f>INDEX(LINEST(TablePBL7181[CU1],TablePBL7181[RCR]^{1,2,3}),1,4)</f>
        <v>117.44755244755244</v>
      </c>
      <c r="L29">
        <f>INDEX(LINEST(TablePBL7181[CU2],TablePBL7181[RCR]^{1,2,3}),1,4)</f>
        <v>117.04195804195805</v>
      </c>
      <c r="M29">
        <f>INDEX(LINEST(TablePBL7181[CU3],TablePBL7181[RCR]^{1,2,3}),1,4)</f>
        <v>114.98601398601397</v>
      </c>
      <c r="N29">
        <f>INDEX(LINEST(TablePBL7181[CU4],TablePBL7181[RCR]^{1,2,3}),1,4)</f>
        <v>114.62237762237763</v>
      </c>
      <c r="O29">
        <f>INDEX(LINEST(TablePBL7181[CU5],TablePBL7181[RCR]^{1,2,3}),1,4)</f>
        <v>114.48251748251748</v>
      </c>
      <c r="P29">
        <f>INDEX(LINEST(TablePBL7181[CU6],TablePBL7181[RCR]^{1,2,3}),1,4)</f>
        <v>108.70629370629368</v>
      </c>
      <c r="Q29">
        <f>INDEX(LINEST(TablePBL7181[CU7],TablePBL7181[RCR]^{1,2,3}),1,4)</f>
        <v>108.89510489510485</v>
      </c>
      <c r="R29">
        <f>INDEX(LINEST(TablePBL7181[CU8],TablePBL7181[RCR]^{1,2,3}),1,4)</f>
        <v>108.58741258741256</v>
      </c>
      <c r="S29">
        <f>INDEX(LINEST(TablePBL7181[CU9],TablePBL7181[RCR]^{1,2,3}),1,4)</f>
        <v>103.95804195804195</v>
      </c>
      <c r="T29">
        <f>INDEX(LINEST(TablePBL7181[CU10],TablePBL7181[RCR]^{1,2,3}),1,4)</f>
        <v>103.69930069930068</v>
      </c>
      <c r="U29">
        <f>INDEX(LINEST(TablePBL7181[CU11],TablePBL7181[RCR]^{1,2,3}),1,4)</f>
        <v>103.6293706293706</v>
      </c>
      <c r="V29">
        <f>INDEX(LINEST(TablePBL7181[CU12],TablePBL7181[RCR]^{1,2,3}),1,4)</f>
        <v>98.979020979020973</v>
      </c>
      <c r="W29">
        <f>INDEX(LINEST(TablePBL7181[CU13],TablePBL7181[RCR]^{1,2,3}),1,4)</f>
        <v>99.020979020979027</v>
      </c>
      <c r="X29">
        <f>INDEX(LINEST(TablePBL7181[CU14],TablePBL7181[RCR]^{1,2,3}),1,4)</f>
        <v>98.860139860139839</v>
      </c>
      <c r="Z29" t="s">
        <v>221</v>
      </c>
      <c r="AA29">
        <f>INDEX(LINEST(TablePBLFR7888[CU],TablePBLFR7888[RCR]^{1,2,3}),1,4)</f>
        <v>119.21678321678323</v>
      </c>
      <c r="AB29">
        <f>INDEX(LINEST(TablePBLFR7888[CU1],TablePBLFR7888[RCR]^{1,2,3}),1,4)</f>
        <v>118.61538461538457</v>
      </c>
      <c r="AC29">
        <f>INDEX(LINEST(TablePBLFR7888[CU2],TablePBLFR7888[RCR]^{1,2,3}),1,4)</f>
        <v>118.13986013986013</v>
      </c>
      <c r="AD29">
        <f>INDEX(LINEST(TablePBLFR7888[CU3],TablePBLFR7888[RCR]^{1,2,3}),1,4)</f>
        <v>115.82517482517481</v>
      </c>
      <c r="AE29">
        <f>INDEX(LINEST(TablePBLFR7888[CU4],TablePBLFR7888[RCR]^{1,2,3}),1,4)</f>
        <v>115.68531468531467</v>
      </c>
      <c r="AF29">
        <f>INDEX(LINEST(TablePBLFR7888[CU5],TablePBLFR7888[RCR]^{1,2,3}),1,4)</f>
        <v>115.58041958041954</v>
      </c>
      <c r="AG29">
        <f>INDEX(LINEST(TablePBLFR7888[CU6],TablePBLFR7888[RCR]^{1,2,3}),1,4)</f>
        <v>110.33566433566433</v>
      </c>
      <c r="AH29">
        <f>INDEX(LINEST(TablePBLFR7888[CU7],TablePBLFR7888[RCR]^{1,2,3}),1,4)</f>
        <v>109.79020979020974</v>
      </c>
      <c r="AI29">
        <f>INDEX(LINEST(TablePBLFR7888[CU8],TablePBLFR7888[RCR]^{1,2,3}),1,4)</f>
        <v>109.68531468531467</v>
      </c>
      <c r="AJ29">
        <f>INDEX(LINEST(TablePBLFR7888[CU9],TablePBLFR7888[RCR]^{1,2,3}),1,4)</f>
        <v>105.23076923076923</v>
      </c>
      <c r="AK29">
        <f>INDEX(LINEST(TablePBLFR7888[CU10],TablePBLFR7888[RCR]^{1,2,3}),1,4)</f>
        <v>104.98601398601397</v>
      </c>
      <c r="AL29">
        <f>INDEX(LINEST(TablePBLFR7888[CU11],TablePBLFR7888[RCR]^{1,2,3}),1,4)</f>
        <v>104.66433566433565</v>
      </c>
      <c r="AM29">
        <f>INDEX(LINEST(TablePBLFR7888[CU12],TablePBLFR7888[RCR]^{1,2,3}),1,4)</f>
        <v>101.24475524475521</v>
      </c>
      <c r="AN29">
        <f>INDEX(LINEST(TablePBLFR7888[CU13],TablePBLFR7888[RCR]^{1,2,3}),1,4)</f>
        <v>101.18181818181819</v>
      </c>
      <c r="AO29">
        <f>INDEX(LINEST(TablePBLFR7888[CU14],TablePBLFR7888[RCR]^{1,2,3}),1,4)</f>
        <v>100.93706293706293</v>
      </c>
      <c r="AQ29" t="s">
        <v>221</v>
      </c>
      <c r="AR29">
        <f>INDEX(LINEST(Table1x4308090[CU],Table1x4308090[RCR]^{1,2,3}),1,4)</f>
        <v>119.03496503496507</v>
      </c>
      <c r="AS29">
        <f>INDEX(LINEST(Table1x4308090[CU1],Table1x4308090[RCR]^{1,2,3}),1,4)</f>
        <v>118.56643356643357</v>
      </c>
      <c r="AT29">
        <f>INDEX(LINEST(Table1x4308090[CU2],Table1x4308090[RCR]^{1,2,3}),1,4)</f>
        <v>118.13986013986013</v>
      </c>
      <c r="AU29">
        <f>INDEX(LINEST(Table1x4308090[CU3],Table1x4308090[RCR]^{1,2,3}),1,4)</f>
        <v>115.81118881118881</v>
      </c>
      <c r="AV29">
        <f>INDEX(LINEST(Table1x4308090[CU4],Table1x4308090[RCR]^{1,2,3}),1,4)</f>
        <v>115.68531468531467</v>
      </c>
      <c r="AW29">
        <f>INDEX(LINEST(Table1x4308090[CU5],Table1x4308090[RCR]^{1,2,3}),1,4)</f>
        <v>115.46153846153842</v>
      </c>
      <c r="AX29">
        <f>INDEX(LINEST(Table1x4308090[CU6],Table1x4308090[RCR]^{1,2,3}),1,4)</f>
        <v>110.32867132867129</v>
      </c>
      <c r="AY29">
        <f>INDEX(LINEST(Table1x4308090[CU7],Table1x4308090[RCR]^{1,2,3}),1,4)</f>
        <v>109.79020979020974</v>
      </c>
      <c r="AZ29">
        <f>INDEX(LINEST(Table1x4308090[CU8],Table1x4308090[RCR]^{1,2,3}),1,4)</f>
        <v>109.88811188811189</v>
      </c>
      <c r="BA29">
        <f>INDEX(LINEST(Table1x4308090[CU9],Table1x4308090[RCR]^{1,2,3}),1,4)</f>
        <v>105.23076923076923</v>
      </c>
      <c r="BB29">
        <f>INDEX(LINEST(Table1x4308090[CU10],Table1x4308090[RCR]^{1,2,3}),1,4)</f>
        <v>105.13286713286712</v>
      </c>
      <c r="BC29">
        <f>INDEX(LINEST(Table1x4308090[CU11],Table1x4308090[RCR]^{1,2,3}),1,4)</f>
        <v>105.03496503496503</v>
      </c>
      <c r="BD29">
        <f>INDEX(LINEST(Table1x4308090[CU12],Table1x4308090[RCR]^{1,2,3}),1,4)</f>
        <v>101.12587412587412</v>
      </c>
      <c r="BE29">
        <f>INDEX(LINEST(Table1x4308090[CU13],Table1x4308090[RCR]^{1,2,3}),1,4)</f>
        <v>101.15384615384615</v>
      </c>
      <c r="BF29">
        <f>INDEX(LINEST(Table1x4308090[CU14],Table1x4308090[RCR]^{1,2,3}),1,4)</f>
        <v>100.92307692307689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724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725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725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 t="s">
        <v>725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 t="s">
        <v>725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725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725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725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725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725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725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725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1.3</v>
      </c>
      <c r="F44" s="12">
        <f>E44*(C14-C15)</f>
        <v>-3.25</v>
      </c>
      <c r="H44" t="s">
        <v>25</v>
      </c>
      <c r="I44">
        <v>30</v>
      </c>
      <c r="J44">
        <v>10</v>
      </c>
      <c r="K44" t="s">
        <v>725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1.28</v>
      </c>
      <c r="F45" s="12">
        <f>E45*(C14-C15)</f>
        <v>-3.2</v>
      </c>
      <c r="H45" t="s">
        <v>27</v>
      </c>
      <c r="I45">
        <v>10</v>
      </c>
      <c r="J45">
        <v>50</v>
      </c>
      <c r="K45" t="s">
        <v>725</v>
      </c>
      <c r="L45" t="e">
        <f>V25</f>
        <v>#DIV/0!</v>
      </c>
    </row>
    <row r="46" spans="1:63" x14ac:dyDescent="0.25">
      <c r="B46" t="s">
        <v>1346</v>
      </c>
      <c r="C46" s="1" t="e">
        <f>IF(C39=1,C5/2,C44/2)</f>
        <v>#N/A</v>
      </c>
      <c r="D46" t="s">
        <v>8</v>
      </c>
      <c r="H46" t="s">
        <v>28</v>
      </c>
      <c r="I46">
        <v>10</v>
      </c>
      <c r="J46">
        <v>30</v>
      </c>
      <c r="K46" t="s">
        <v>725</v>
      </c>
      <c r="L46" t="e">
        <f>W25</f>
        <v>#DIV/0!</v>
      </c>
    </row>
    <row r="47" spans="1:63" x14ac:dyDescent="0.25">
      <c r="B47" t="s">
        <v>1347</v>
      </c>
      <c r="C47" s="1" t="e">
        <f>IF(C40=1,C6/2,C45/2)</f>
        <v>#N/A</v>
      </c>
      <c r="D47" t="s">
        <v>8</v>
      </c>
      <c r="H47" t="s">
        <v>29</v>
      </c>
      <c r="I47">
        <v>10</v>
      </c>
      <c r="J47">
        <v>10</v>
      </c>
      <c r="K47" t="s">
        <v>725</v>
      </c>
      <c r="L47" t="e">
        <f>X25</f>
        <v>#DIV/0!</v>
      </c>
    </row>
    <row r="48" spans="1:63" ht="15" customHeight="1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 t="s">
        <v>726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726</v>
      </c>
      <c r="L49" t="e">
        <f>AB25</f>
        <v>#DIV/0!</v>
      </c>
    </row>
    <row r="50" spans="1:12" x14ac:dyDescent="0.25">
      <c r="H50" t="s">
        <v>17</v>
      </c>
      <c r="I50">
        <v>80</v>
      </c>
      <c r="J50">
        <v>10</v>
      </c>
      <c r="K50" t="s">
        <v>726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 t="s">
        <v>726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726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726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726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726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726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726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 t="s">
        <v>726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 t="s">
        <v>726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 t="s">
        <v>726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 t="s">
        <v>726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 t="s">
        <v>726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 t="s">
        <v>727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 t="s">
        <v>727</v>
      </c>
      <c r="L64" t="e">
        <f>AS25</f>
        <v>#DIV/0!</v>
      </c>
    </row>
    <row r="65" spans="8:12" x14ac:dyDescent="0.25">
      <c r="H65" t="s">
        <v>17</v>
      </c>
      <c r="I65">
        <v>80</v>
      </c>
      <c r="J65">
        <v>10</v>
      </c>
      <c r="K65" t="s">
        <v>727</v>
      </c>
      <c r="L65" t="e">
        <f>AT25</f>
        <v>#DIV/0!</v>
      </c>
    </row>
    <row r="66" spans="8:12" x14ac:dyDescent="0.25">
      <c r="H66" t="s">
        <v>18</v>
      </c>
      <c r="I66">
        <v>70</v>
      </c>
      <c r="J66">
        <v>50</v>
      </c>
      <c r="K66" t="s">
        <v>727</v>
      </c>
      <c r="L66" t="e">
        <f>AU25</f>
        <v>#DIV/0!</v>
      </c>
    </row>
    <row r="67" spans="8:12" x14ac:dyDescent="0.25">
      <c r="H67" t="s">
        <v>19</v>
      </c>
      <c r="I67">
        <v>70</v>
      </c>
      <c r="J67">
        <v>30</v>
      </c>
      <c r="K67" t="s">
        <v>727</v>
      </c>
      <c r="L67" t="e">
        <f>AV25</f>
        <v>#DIV/0!</v>
      </c>
    </row>
    <row r="68" spans="8:12" x14ac:dyDescent="0.25">
      <c r="H68" t="s">
        <v>20</v>
      </c>
      <c r="I68">
        <v>70</v>
      </c>
      <c r="J68">
        <v>10</v>
      </c>
      <c r="K68" t="s">
        <v>727</v>
      </c>
      <c r="L68" t="e">
        <f>AW25</f>
        <v>#DIV/0!</v>
      </c>
    </row>
    <row r="69" spans="8:12" x14ac:dyDescent="0.25">
      <c r="H69" t="s">
        <v>21</v>
      </c>
      <c r="I69">
        <v>50</v>
      </c>
      <c r="J69">
        <v>50</v>
      </c>
      <c r="K69" t="s">
        <v>727</v>
      </c>
      <c r="L69" t="e">
        <f>AX25</f>
        <v>#DIV/0!</v>
      </c>
    </row>
    <row r="70" spans="8:12" x14ac:dyDescent="0.25">
      <c r="H70" t="s">
        <v>22</v>
      </c>
      <c r="I70">
        <v>50</v>
      </c>
      <c r="J70">
        <v>30</v>
      </c>
      <c r="K70" t="s">
        <v>727</v>
      </c>
      <c r="L70" t="e">
        <f>AY25</f>
        <v>#DIV/0!</v>
      </c>
    </row>
    <row r="71" spans="8:12" x14ac:dyDescent="0.25">
      <c r="H71" t="s">
        <v>23</v>
      </c>
      <c r="I71">
        <v>50</v>
      </c>
      <c r="J71">
        <v>10</v>
      </c>
      <c r="K71" t="s">
        <v>727</v>
      </c>
      <c r="L71" t="e">
        <f>AZ25</f>
        <v>#DIV/0!</v>
      </c>
    </row>
    <row r="72" spans="8:12" x14ac:dyDescent="0.25">
      <c r="H72" t="s">
        <v>24</v>
      </c>
      <c r="I72">
        <v>30</v>
      </c>
      <c r="J72">
        <v>50</v>
      </c>
      <c r="K72" t="s">
        <v>727</v>
      </c>
      <c r="L72" t="e">
        <f>BA25</f>
        <v>#DIV/0!</v>
      </c>
    </row>
    <row r="73" spans="8:12" x14ac:dyDescent="0.25">
      <c r="H73" t="s">
        <v>26</v>
      </c>
      <c r="I73">
        <v>30</v>
      </c>
      <c r="J73">
        <v>30</v>
      </c>
      <c r="K73" t="s">
        <v>727</v>
      </c>
      <c r="L73" t="e">
        <f>BB25</f>
        <v>#DIV/0!</v>
      </c>
    </row>
    <row r="74" spans="8:12" x14ac:dyDescent="0.25">
      <c r="H74" t="s">
        <v>25</v>
      </c>
      <c r="I74">
        <v>30</v>
      </c>
      <c r="J74">
        <v>10</v>
      </c>
      <c r="K74" t="s">
        <v>727</v>
      </c>
      <c r="L74" t="e">
        <f>BC25</f>
        <v>#DIV/0!</v>
      </c>
    </row>
    <row r="75" spans="8:12" x14ac:dyDescent="0.25">
      <c r="H75" t="s">
        <v>27</v>
      </c>
      <c r="I75">
        <v>10</v>
      </c>
      <c r="J75">
        <v>50</v>
      </c>
      <c r="K75" t="s">
        <v>727</v>
      </c>
      <c r="L75" t="e">
        <f>BD25</f>
        <v>#DIV/0!</v>
      </c>
    </row>
    <row r="76" spans="8:12" x14ac:dyDescent="0.25">
      <c r="H76" t="s">
        <v>28</v>
      </c>
      <c r="I76">
        <v>10</v>
      </c>
      <c r="J76">
        <v>30</v>
      </c>
      <c r="K76" t="s">
        <v>727</v>
      </c>
      <c r="L76" t="e">
        <f>BE25</f>
        <v>#DIV/0!</v>
      </c>
    </row>
    <row r="77" spans="8:12" x14ac:dyDescent="0.25">
      <c r="H77" t="s">
        <v>29</v>
      </c>
      <c r="I77">
        <v>10</v>
      </c>
      <c r="J77">
        <v>10</v>
      </c>
      <c r="K77" t="s">
        <v>727</v>
      </c>
      <c r="L77" t="e">
        <f>BF25</f>
        <v>#DIV/0!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t="s">
        <v>728</v>
      </c>
      <c r="J81" s="5">
        <v>16534</v>
      </c>
      <c r="K81" s="5">
        <v>122</v>
      </c>
    </row>
    <row r="82" spans="9:22" x14ac:dyDescent="0.25">
      <c r="I82" t="s">
        <v>729</v>
      </c>
      <c r="J82" s="5">
        <v>20051</v>
      </c>
      <c r="K82" s="5">
        <v>156</v>
      </c>
    </row>
    <row r="83" spans="9:22" x14ac:dyDescent="0.25">
      <c r="I83" t="s">
        <v>730</v>
      </c>
      <c r="J83" s="5">
        <v>23196</v>
      </c>
      <c r="K83" s="5">
        <v>168</v>
      </c>
    </row>
    <row r="84" spans="9:22" x14ac:dyDescent="0.25">
      <c r="I84" t="s">
        <v>731</v>
      </c>
      <c r="J84" s="5">
        <v>30326</v>
      </c>
      <c r="K84" s="5">
        <v>227</v>
      </c>
    </row>
    <row r="85" spans="9:22" x14ac:dyDescent="0.25">
      <c r="I85" t="s">
        <v>732</v>
      </c>
      <c r="J85" s="5">
        <v>16790</v>
      </c>
      <c r="K85" s="5">
        <v>122</v>
      </c>
    </row>
    <row r="86" spans="9:22" x14ac:dyDescent="0.25">
      <c r="I86" t="s">
        <v>733</v>
      </c>
      <c r="J86" s="5">
        <v>20371</v>
      </c>
      <c r="K86" s="5">
        <v>156</v>
      </c>
    </row>
    <row r="87" spans="9:22" x14ac:dyDescent="0.25">
      <c r="I87" t="s">
        <v>734</v>
      </c>
      <c r="J87" s="5">
        <v>23554</v>
      </c>
      <c r="K87" s="5">
        <v>168</v>
      </c>
      <c r="N87" t="s">
        <v>11</v>
      </c>
      <c r="O87" t="s">
        <v>12</v>
      </c>
      <c r="P87" t="s">
        <v>15</v>
      </c>
      <c r="R87" t="s">
        <v>724</v>
      </c>
      <c r="S87" t="s">
        <v>135</v>
      </c>
      <c r="T87" t="s">
        <v>136</v>
      </c>
      <c r="V87" t="s">
        <v>138</v>
      </c>
    </row>
    <row r="88" spans="9:22" x14ac:dyDescent="0.25">
      <c r="I88" t="s">
        <v>735</v>
      </c>
      <c r="J88" s="5">
        <v>30795</v>
      </c>
      <c r="K88" s="5">
        <v>227</v>
      </c>
      <c r="N88">
        <v>80</v>
      </c>
      <c r="O88">
        <v>50</v>
      </c>
      <c r="P88">
        <v>20</v>
      </c>
      <c r="R88" t="s">
        <v>725</v>
      </c>
      <c r="S88">
        <v>1.26</v>
      </c>
      <c r="T88">
        <v>1.26</v>
      </c>
      <c r="V88">
        <v>0</v>
      </c>
    </row>
    <row r="89" spans="9:22" x14ac:dyDescent="0.25">
      <c r="I89" t="s">
        <v>736</v>
      </c>
      <c r="J89" s="5">
        <v>16487</v>
      </c>
      <c r="K89" s="5">
        <v>122</v>
      </c>
      <c r="N89">
        <v>70</v>
      </c>
      <c r="O89">
        <v>30</v>
      </c>
      <c r="R89" t="s">
        <v>726</v>
      </c>
      <c r="S89" s="11">
        <v>1.28</v>
      </c>
      <c r="T89">
        <v>1.3</v>
      </c>
      <c r="V89">
        <v>90</v>
      </c>
    </row>
    <row r="90" spans="9:22" x14ac:dyDescent="0.25">
      <c r="I90" t="s">
        <v>737</v>
      </c>
      <c r="J90" s="5">
        <v>20004</v>
      </c>
      <c r="K90" s="5">
        <v>156</v>
      </c>
      <c r="N90">
        <v>50</v>
      </c>
      <c r="O90">
        <v>10</v>
      </c>
      <c r="R90" t="s">
        <v>727</v>
      </c>
      <c r="S90">
        <v>1.28</v>
      </c>
      <c r="T90">
        <v>1.3</v>
      </c>
    </row>
    <row r="91" spans="9:22" x14ac:dyDescent="0.25">
      <c r="I91" t="s">
        <v>738</v>
      </c>
      <c r="J91" s="5">
        <v>23130</v>
      </c>
      <c r="K91" s="5">
        <v>168</v>
      </c>
      <c r="N91">
        <v>30</v>
      </c>
    </row>
    <row r="92" spans="9:22" x14ac:dyDescent="0.25">
      <c r="I92" t="s">
        <v>739</v>
      </c>
      <c r="J92" s="5">
        <v>30241</v>
      </c>
      <c r="K92" s="5">
        <v>227</v>
      </c>
      <c r="N92">
        <v>10</v>
      </c>
    </row>
    <row r="93" spans="9:22" x14ac:dyDescent="0.25">
      <c r="I93" t="s">
        <v>740</v>
      </c>
      <c r="J93" s="5">
        <v>17045</v>
      </c>
      <c r="K93" s="5">
        <v>122</v>
      </c>
    </row>
    <row r="94" spans="9:22" x14ac:dyDescent="0.25">
      <c r="I94" t="s">
        <v>741</v>
      </c>
      <c r="J94" s="5">
        <v>20671</v>
      </c>
      <c r="K94" s="5">
        <v>156</v>
      </c>
    </row>
    <row r="95" spans="9:22" x14ac:dyDescent="0.25">
      <c r="I95" t="s">
        <v>742</v>
      </c>
      <c r="J95" s="5">
        <v>23913</v>
      </c>
      <c r="K95" s="5">
        <v>168</v>
      </c>
    </row>
    <row r="96" spans="9:22" x14ac:dyDescent="0.25">
      <c r="I96" t="s">
        <v>743</v>
      </c>
      <c r="J96" s="5">
        <v>31264</v>
      </c>
      <c r="K96" s="5">
        <v>227</v>
      </c>
    </row>
    <row r="97" spans="9:11" x14ac:dyDescent="0.25">
      <c r="I97" t="s">
        <v>744</v>
      </c>
      <c r="J97" s="5">
        <v>17309</v>
      </c>
      <c r="K97" s="5">
        <v>122</v>
      </c>
    </row>
    <row r="98" spans="9:11" x14ac:dyDescent="0.25">
      <c r="I98" t="s">
        <v>745</v>
      </c>
      <c r="J98" s="5">
        <v>21001</v>
      </c>
      <c r="K98" s="5">
        <v>156</v>
      </c>
    </row>
    <row r="99" spans="9:11" x14ac:dyDescent="0.25">
      <c r="I99" t="s">
        <v>746</v>
      </c>
      <c r="J99" s="5">
        <v>24283</v>
      </c>
      <c r="K99" s="5">
        <v>168</v>
      </c>
    </row>
    <row r="100" spans="9:11" x14ac:dyDescent="0.25">
      <c r="I100" t="s">
        <v>747</v>
      </c>
      <c r="J100" s="5">
        <v>31748</v>
      </c>
      <c r="K100" s="5">
        <v>227</v>
      </c>
    </row>
    <row r="101" spans="9:11" x14ac:dyDescent="0.25">
      <c r="I101" t="s">
        <v>748</v>
      </c>
      <c r="J101" s="5">
        <v>16997</v>
      </c>
      <c r="K101" s="5">
        <v>122</v>
      </c>
    </row>
    <row r="102" spans="9:11" x14ac:dyDescent="0.25">
      <c r="I102" t="s">
        <v>749</v>
      </c>
      <c r="J102" s="5">
        <v>20623</v>
      </c>
      <c r="K102" s="5">
        <v>156</v>
      </c>
    </row>
    <row r="103" spans="9:11" x14ac:dyDescent="0.25">
      <c r="I103" t="s">
        <v>750</v>
      </c>
      <c r="J103" s="5">
        <v>23846</v>
      </c>
      <c r="K103" s="5">
        <v>168</v>
      </c>
    </row>
    <row r="104" spans="9:11" x14ac:dyDescent="0.25">
      <c r="I104" t="s">
        <v>751</v>
      </c>
      <c r="J104" s="5">
        <v>31176</v>
      </c>
      <c r="K104" s="5">
        <v>227</v>
      </c>
    </row>
    <row r="105" spans="9:11" x14ac:dyDescent="0.25">
      <c r="I105" t="s">
        <v>752</v>
      </c>
      <c r="J105" s="5">
        <v>17557</v>
      </c>
      <c r="K105" s="5">
        <v>122</v>
      </c>
    </row>
    <row r="106" spans="9:11" x14ac:dyDescent="0.25">
      <c r="I106" t="s">
        <v>753</v>
      </c>
      <c r="J106" s="5">
        <v>21291</v>
      </c>
      <c r="K106" s="5">
        <v>156</v>
      </c>
    </row>
    <row r="107" spans="9:11" x14ac:dyDescent="0.25">
      <c r="I107" t="s">
        <v>754</v>
      </c>
      <c r="J107" s="5">
        <v>24630</v>
      </c>
      <c r="K107" s="5">
        <v>168</v>
      </c>
    </row>
    <row r="108" spans="9:11" x14ac:dyDescent="0.25">
      <c r="I108" s="16" t="s">
        <v>755</v>
      </c>
      <c r="J108" s="19">
        <v>32202</v>
      </c>
      <c r="K108" s="19">
        <v>227</v>
      </c>
    </row>
    <row r="109" spans="9:11" x14ac:dyDescent="0.25">
      <c r="I109" s="16" t="s">
        <v>756</v>
      </c>
      <c r="J109" s="19">
        <v>17828</v>
      </c>
      <c r="K109" s="19">
        <v>122</v>
      </c>
    </row>
    <row r="110" spans="9:11" x14ac:dyDescent="0.25">
      <c r="I110" s="16" t="s">
        <v>757</v>
      </c>
      <c r="J110" s="19">
        <v>21631</v>
      </c>
      <c r="K110" s="19">
        <v>156</v>
      </c>
    </row>
    <row r="111" spans="9:11" x14ac:dyDescent="0.25">
      <c r="I111" s="16" t="s">
        <v>758</v>
      </c>
      <c r="J111" s="19">
        <v>25011</v>
      </c>
      <c r="K111" s="19">
        <v>168</v>
      </c>
    </row>
    <row r="112" spans="9:11" x14ac:dyDescent="0.25">
      <c r="I112" s="16" t="s">
        <v>759</v>
      </c>
      <c r="J112" s="19">
        <v>32700</v>
      </c>
      <c r="K112" s="19">
        <v>227</v>
      </c>
    </row>
    <row r="113" spans="9:11" x14ac:dyDescent="0.25">
      <c r="I113" s="16" t="s">
        <v>760</v>
      </c>
      <c r="J113" s="19">
        <v>17507</v>
      </c>
      <c r="K113" s="19">
        <v>122</v>
      </c>
    </row>
    <row r="114" spans="9:11" x14ac:dyDescent="0.25">
      <c r="I114" s="16" t="s">
        <v>761</v>
      </c>
      <c r="J114" s="19">
        <v>21242</v>
      </c>
      <c r="K114" s="19">
        <v>156</v>
      </c>
    </row>
    <row r="115" spans="9:11" x14ac:dyDescent="0.25">
      <c r="I115" s="16" t="s">
        <v>762</v>
      </c>
      <c r="J115" s="19">
        <v>24561</v>
      </c>
      <c r="K115" s="19">
        <v>168</v>
      </c>
    </row>
    <row r="116" spans="9:11" x14ac:dyDescent="0.25">
      <c r="I116" s="16" t="s">
        <v>763</v>
      </c>
      <c r="J116" s="19">
        <v>32111</v>
      </c>
      <c r="K116" s="19">
        <v>227</v>
      </c>
    </row>
  </sheetData>
  <sheetProtection algorithmName="SHA-512" hashValue="vQcWDjm2Fx2Y0pWX0ay+UvVe5e26GC2vRh0WAP9oC1WPAt4jWl/eqFxE0W3qJ3qgpSnNyE8wl8jUU5HVQE2y9A==" saltValue="e7rGH7Ra7/5P8IBU3Ejg0g==" spinCount="100000" sheet="1" selectLockedCells="1"/>
  <mergeCells count="4">
    <mergeCell ref="BI5:BK5"/>
    <mergeCell ref="BI6:BK6"/>
    <mergeCell ref="BI7:BK7"/>
    <mergeCell ref="A52:D55"/>
  </mergeCells>
  <conditionalFormatting sqref="C44">
    <cfRule type="cellIs" dxfId="180" priority="2" operator="greaterThan">
      <formula>$F$44</formula>
    </cfRule>
  </conditionalFormatting>
  <conditionalFormatting sqref="C45">
    <cfRule type="cellIs" dxfId="179" priority="1" operator="greaterThan">
      <formula>$F$45</formula>
    </cfRule>
  </conditionalFormatting>
  <dataValidations count="4">
    <dataValidation type="list" allowBlank="1" showInputMessage="1" showErrorMessage="1" sqref="C21" xr:uid="{FB620895-5A30-4F84-8F6C-C7711B111F04}">
      <formula1>$I$81:$I$116</formula1>
    </dataValidation>
    <dataValidation type="list" allowBlank="1" showInputMessage="1" showErrorMessage="1" sqref="C17" xr:uid="{2169A69E-A989-45B3-9F88-D349CDFBA9CE}">
      <formula1>$N$88:$N$92</formula1>
    </dataValidation>
    <dataValidation type="list" allowBlank="1" showInputMessage="1" showErrorMessage="1" sqref="C18" xr:uid="{DA89D7BD-FEF5-4E52-85BB-29C666BAA001}">
      <formula1>$O$88:$O$90</formula1>
    </dataValidation>
    <dataValidation type="list" allowBlank="1" showInputMessage="1" showErrorMessage="1" sqref="C43" xr:uid="{149E15CB-EA91-4267-8D46-5C85B6C829A2}">
      <formula1>$V$88:$V$89</formula1>
    </dataValidation>
  </dataValidations>
  <pageMargins left="0.45" right="0.45" top="0.5" bottom="0.5" header="0.3" footer="0.3"/>
  <pageSetup scale="87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F7DEE-A138-4631-BA31-5416090360B4}">
  <sheetPr>
    <pageSetUpPr fitToPage="1"/>
  </sheetPr>
  <dimension ref="A5:DJ359"/>
  <sheetViews>
    <sheetView showGridLines="0" zoomScaleNormal="100" workbookViewId="0">
      <selection activeCell="DH5" sqref="DH5:DJ5"/>
    </sheetView>
  </sheetViews>
  <sheetFormatPr defaultRowHeight="15" x14ac:dyDescent="0.25"/>
  <cols>
    <col min="1" max="1" width="10.42578125" bestFit="1" customWidth="1"/>
    <col min="2" max="2" width="25.28515625" customWidth="1"/>
    <col min="3" max="3" width="25.1406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109" width="9.140625" hidden="1" customWidth="1"/>
  </cols>
  <sheetData>
    <row r="5" spans="1:114" x14ac:dyDescent="0.25">
      <c r="DG5" s="5" t="s">
        <v>1343</v>
      </c>
      <c r="DH5" s="37"/>
      <c r="DI5" s="37"/>
      <c r="DJ5" s="37"/>
    </row>
    <row r="6" spans="1:114" x14ac:dyDescent="0.25">
      <c r="A6" s="10" t="s">
        <v>118</v>
      </c>
      <c r="DG6" s="5" t="s">
        <v>1344</v>
      </c>
      <c r="DH6" s="37"/>
      <c r="DI6" s="37"/>
      <c r="DJ6" s="37"/>
    </row>
    <row r="7" spans="1:114" x14ac:dyDescent="0.25">
      <c r="A7" s="10" t="s">
        <v>1053</v>
      </c>
      <c r="DG7" s="5" t="s">
        <v>1345</v>
      </c>
      <c r="DH7" s="37"/>
      <c r="DI7" s="37"/>
      <c r="DJ7" s="37"/>
    </row>
    <row r="9" spans="1:114" x14ac:dyDescent="0.25">
      <c r="I9" s="6" t="s">
        <v>1047</v>
      </c>
      <c r="Z9" s="2" t="s">
        <v>1048</v>
      </c>
      <c r="AQ9" s="2" t="s">
        <v>1049</v>
      </c>
      <c r="BH9" s="6" t="s">
        <v>1050</v>
      </c>
      <c r="BY9" s="2" t="s">
        <v>1051</v>
      </c>
      <c r="CP9" s="2" t="s">
        <v>1052</v>
      </c>
    </row>
    <row r="10" spans="1:114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  <c r="BH10" t="s">
        <v>11</v>
      </c>
      <c r="BI10">
        <v>80</v>
      </c>
      <c r="BJ10">
        <v>80</v>
      </c>
      <c r="BK10">
        <v>80</v>
      </c>
      <c r="BL10">
        <v>70</v>
      </c>
      <c r="BM10">
        <v>70</v>
      </c>
      <c r="BN10">
        <v>70</v>
      </c>
      <c r="BO10">
        <v>50</v>
      </c>
      <c r="BP10">
        <v>50</v>
      </c>
      <c r="BQ10">
        <v>50</v>
      </c>
      <c r="BR10">
        <v>30</v>
      </c>
      <c r="BS10">
        <v>30</v>
      </c>
      <c r="BT10">
        <v>30</v>
      </c>
      <c r="BU10">
        <v>10</v>
      </c>
      <c r="BV10">
        <v>10</v>
      </c>
      <c r="BW10">
        <v>10</v>
      </c>
      <c r="BY10" t="s">
        <v>11</v>
      </c>
      <c r="BZ10">
        <v>80</v>
      </c>
      <c r="CA10">
        <v>80</v>
      </c>
      <c r="CB10">
        <v>80</v>
      </c>
      <c r="CC10">
        <v>70</v>
      </c>
      <c r="CD10">
        <v>70</v>
      </c>
      <c r="CE10">
        <v>70</v>
      </c>
      <c r="CF10">
        <v>50</v>
      </c>
      <c r="CG10">
        <v>50</v>
      </c>
      <c r="CH10">
        <v>50</v>
      </c>
      <c r="CI10">
        <v>30</v>
      </c>
      <c r="CJ10">
        <v>30</v>
      </c>
      <c r="CK10">
        <v>30</v>
      </c>
      <c r="CL10">
        <v>10</v>
      </c>
      <c r="CM10">
        <v>10</v>
      </c>
      <c r="CN10">
        <v>10</v>
      </c>
      <c r="CP10" t="s">
        <v>11</v>
      </c>
      <c r="CQ10">
        <v>80</v>
      </c>
      <c r="CR10">
        <v>80</v>
      </c>
      <c r="CS10">
        <v>80</v>
      </c>
      <c r="CT10">
        <v>70</v>
      </c>
      <c r="CU10">
        <v>70</v>
      </c>
      <c r="CV10">
        <v>70</v>
      </c>
      <c r="CW10">
        <v>50</v>
      </c>
      <c r="CX10">
        <v>50</v>
      </c>
      <c r="CY10">
        <v>50</v>
      </c>
      <c r="CZ10">
        <v>30</v>
      </c>
      <c r="DA10">
        <v>30</v>
      </c>
      <c r="DB10">
        <v>30</v>
      </c>
      <c r="DC10">
        <v>10</v>
      </c>
      <c r="DD10">
        <v>10</v>
      </c>
      <c r="DE10">
        <v>10</v>
      </c>
    </row>
    <row r="11" spans="1:114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  <c r="BH11" t="s">
        <v>12</v>
      </c>
      <c r="BI11">
        <v>50</v>
      </c>
      <c r="BJ11">
        <v>30</v>
      </c>
      <c r="BK11">
        <v>10</v>
      </c>
      <c r="BL11">
        <v>50</v>
      </c>
      <c r="BM11">
        <v>30</v>
      </c>
      <c r="BN11">
        <v>10</v>
      </c>
      <c r="BO11">
        <v>50</v>
      </c>
      <c r="BP11">
        <v>30</v>
      </c>
      <c r="BQ11">
        <v>10</v>
      </c>
      <c r="BR11">
        <v>50</v>
      </c>
      <c r="BS11">
        <v>30</v>
      </c>
      <c r="BT11">
        <v>10</v>
      </c>
      <c r="BU11">
        <v>50</v>
      </c>
      <c r="BV11">
        <v>30</v>
      </c>
      <c r="BW11">
        <v>10</v>
      </c>
      <c r="BY11" t="s">
        <v>12</v>
      </c>
      <c r="BZ11">
        <v>50</v>
      </c>
      <c r="CA11">
        <v>30</v>
      </c>
      <c r="CB11">
        <v>10</v>
      </c>
      <c r="CC11">
        <v>50</v>
      </c>
      <c r="CD11">
        <v>30</v>
      </c>
      <c r="CE11">
        <v>10</v>
      </c>
      <c r="CF11">
        <v>50</v>
      </c>
      <c r="CG11">
        <v>30</v>
      </c>
      <c r="CH11">
        <v>10</v>
      </c>
      <c r="CI11">
        <v>50</v>
      </c>
      <c r="CJ11">
        <v>30</v>
      </c>
      <c r="CK11">
        <v>10</v>
      </c>
      <c r="CL11">
        <v>50</v>
      </c>
      <c r="CM11">
        <v>30</v>
      </c>
      <c r="CN11">
        <v>10</v>
      </c>
      <c r="CP11" t="s">
        <v>12</v>
      </c>
      <c r="CQ11">
        <v>50</v>
      </c>
      <c r="CR11">
        <v>30</v>
      </c>
      <c r="CS11">
        <v>10</v>
      </c>
      <c r="CT11">
        <v>50</v>
      </c>
      <c r="CU11">
        <v>30</v>
      </c>
      <c r="CV11">
        <v>10</v>
      </c>
      <c r="CW11">
        <v>50</v>
      </c>
      <c r="CX11">
        <v>30</v>
      </c>
      <c r="CY11">
        <v>10</v>
      </c>
      <c r="CZ11">
        <v>50</v>
      </c>
      <c r="DA11">
        <v>30</v>
      </c>
      <c r="DB11">
        <v>10</v>
      </c>
      <c r="DC11">
        <v>50</v>
      </c>
      <c r="DD11">
        <v>30</v>
      </c>
      <c r="DE11">
        <v>10</v>
      </c>
    </row>
    <row r="12" spans="1:114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  <c r="BH12" t="s">
        <v>14</v>
      </c>
      <c r="BI12" t="s">
        <v>13</v>
      </c>
      <c r="BJ12" t="s">
        <v>16</v>
      </c>
      <c r="BK12" t="s">
        <v>17</v>
      </c>
      <c r="BL12" t="s">
        <v>18</v>
      </c>
      <c r="BM12" t="s">
        <v>19</v>
      </c>
      <c r="BN12" t="s">
        <v>20</v>
      </c>
      <c r="BO12" t="s">
        <v>21</v>
      </c>
      <c r="BP12" t="s">
        <v>22</v>
      </c>
      <c r="BQ12" t="s">
        <v>23</v>
      </c>
      <c r="BR12" t="s">
        <v>24</v>
      </c>
      <c r="BS12" t="s">
        <v>26</v>
      </c>
      <c r="BT12" t="s">
        <v>25</v>
      </c>
      <c r="BU12" t="s">
        <v>27</v>
      </c>
      <c r="BV12" t="s">
        <v>28</v>
      </c>
      <c r="BW12" t="s">
        <v>29</v>
      </c>
      <c r="BY12" s="7" t="s">
        <v>14</v>
      </c>
      <c r="BZ12" s="8" t="s">
        <v>13</v>
      </c>
      <c r="CA12" s="8" t="s">
        <v>16</v>
      </c>
      <c r="CB12" s="8" t="s">
        <v>17</v>
      </c>
      <c r="CC12" s="8" t="s">
        <v>18</v>
      </c>
      <c r="CD12" s="8" t="s">
        <v>19</v>
      </c>
      <c r="CE12" s="8" t="s">
        <v>20</v>
      </c>
      <c r="CF12" s="8" t="s">
        <v>21</v>
      </c>
      <c r="CG12" s="8" t="s">
        <v>22</v>
      </c>
      <c r="CH12" s="8" t="s">
        <v>23</v>
      </c>
      <c r="CI12" s="8" t="s">
        <v>24</v>
      </c>
      <c r="CJ12" s="8" t="s">
        <v>26</v>
      </c>
      <c r="CK12" s="8" t="s">
        <v>25</v>
      </c>
      <c r="CL12" s="8" t="s">
        <v>27</v>
      </c>
      <c r="CM12" s="8" t="s">
        <v>28</v>
      </c>
      <c r="CN12" s="9" t="s">
        <v>29</v>
      </c>
      <c r="CP12" s="7" t="s">
        <v>14</v>
      </c>
      <c r="CQ12" s="8" t="s">
        <v>13</v>
      </c>
      <c r="CR12" s="8" t="s">
        <v>16</v>
      </c>
      <c r="CS12" s="8" t="s">
        <v>17</v>
      </c>
      <c r="CT12" s="8" t="s">
        <v>18</v>
      </c>
      <c r="CU12" s="8" t="s">
        <v>19</v>
      </c>
      <c r="CV12" s="8" t="s">
        <v>20</v>
      </c>
      <c r="CW12" s="8" t="s">
        <v>21</v>
      </c>
      <c r="CX12" s="8" t="s">
        <v>22</v>
      </c>
      <c r="CY12" s="8" t="s">
        <v>23</v>
      </c>
      <c r="CZ12" s="8" t="s">
        <v>24</v>
      </c>
      <c r="DA12" s="8" t="s">
        <v>26</v>
      </c>
      <c r="DB12" s="8" t="s">
        <v>25</v>
      </c>
      <c r="DC12" s="8" t="s">
        <v>27</v>
      </c>
      <c r="DD12" s="8" t="s">
        <v>28</v>
      </c>
      <c r="DE12" s="9" t="s">
        <v>29</v>
      </c>
    </row>
    <row r="13" spans="1:114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118</v>
      </c>
      <c r="K13">
        <v>118</v>
      </c>
      <c r="L13">
        <v>118</v>
      </c>
      <c r="M13">
        <v>115</v>
      </c>
      <c r="N13">
        <v>115</v>
      </c>
      <c r="O13">
        <v>115</v>
      </c>
      <c r="P13">
        <v>108</v>
      </c>
      <c r="Q13">
        <v>108</v>
      </c>
      <c r="R13">
        <v>108</v>
      </c>
      <c r="S13">
        <v>103</v>
      </c>
      <c r="T13">
        <v>103</v>
      </c>
      <c r="U13">
        <v>103</v>
      </c>
      <c r="V13">
        <v>97</v>
      </c>
      <c r="W13">
        <v>97</v>
      </c>
      <c r="X13">
        <v>97</v>
      </c>
      <c r="Z13">
        <v>0</v>
      </c>
      <c r="AA13">
        <v>118</v>
      </c>
      <c r="AB13">
        <v>118</v>
      </c>
      <c r="AC13">
        <v>118</v>
      </c>
      <c r="AD13">
        <v>115</v>
      </c>
      <c r="AE13">
        <v>115</v>
      </c>
      <c r="AF13">
        <v>115</v>
      </c>
      <c r="AG13">
        <v>109</v>
      </c>
      <c r="AH13">
        <v>109</v>
      </c>
      <c r="AI13">
        <v>109</v>
      </c>
      <c r="AJ13">
        <v>103</v>
      </c>
      <c r="AK13">
        <v>103</v>
      </c>
      <c r="AL13">
        <v>103</v>
      </c>
      <c r="AM13">
        <v>98</v>
      </c>
      <c r="AN13">
        <v>98</v>
      </c>
      <c r="AO13">
        <v>98</v>
      </c>
      <c r="AQ13">
        <v>0</v>
      </c>
      <c r="AR13">
        <v>119</v>
      </c>
      <c r="AS13">
        <v>119</v>
      </c>
      <c r="AT13">
        <v>119</v>
      </c>
      <c r="AU13">
        <v>115</v>
      </c>
      <c r="AV13">
        <v>115</v>
      </c>
      <c r="AW13">
        <v>115</v>
      </c>
      <c r="AX13">
        <v>110</v>
      </c>
      <c r="AY13">
        <v>110</v>
      </c>
      <c r="AZ13">
        <v>110</v>
      </c>
      <c r="BA13">
        <v>105</v>
      </c>
      <c r="BB13">
        <v>105</v>
      </c>
      <c r="BC13">
        <v>105</v>
      </c>
      <c r="BD13">
        <v>100</v>
      </c>
      <c r="BE13">
        <v>100</v>
      </c>
      <c r="BF13">
        <v>100</v>
      </c>
      <c r="BH13">
        <v>0</v>
      </c>
      <c r="BI13">
        <v>118</v>
      </c>
      <c r="BJ13">
        <v>118</v>
      </c>
      <c r="BK13">
        <v>118</v>
      </c>
      <c r="BL13">
        <v>115</v>
      </c>
      <c r="BM13">
        <v>115</v>
      </c>
      <c r="BN13">
        <v>115</v>
      </c>
      <c r="BO13">
        <v>109</v>
      </c>
      <c r="BP13">
        <v>109</v>
      </c>
      <c r="BQ13">
        <v>109</v>
      </c>
      <c r="BR13">
        <v>103</v>
      </c>
      <c r="BS13">
        <v>103</v>
      </c>
      <c r="BT13">
        <v>103</v>
      </c>
      <c r="BU13">
        <v>98</v>
      </c>
      <c r="BV13">
        <v>98</v>
      </c>
      <c r="BW13">
        <v>98</v>
      </c>
      <c r="BY13">
        <v>0</v>
      </c>
      <c r="BZ13">
        <v>118</v>
      </c>
      <c r="CA13">
        <v>118</v>
      </c>
      <c r="CB13">
        <v>118</v>
      </c>
      <c r="CC13">
        <v>115</v>
      </c>
      <c r="CD13">
        <v>115</v>
      </c>
      <c r="CE13">
        <v>115</v>
      </c>
      <c r="CF13">
        <v>110</v>
      </c>
      <c r="CG13">
        <v>110</v>
      </c>
      <c r="CH13">
        <v>110</v>
      </c>
      <c r="CI13">
        <v>105</v>
      </c>
      <c r="CJ13">
        <v>105</v>
      </c>
      <c r="CK13">
        <v>105</v>
      </c>
      <c r="CL13">
        <v>100</v>
      </c>
      <c r="CM13">
        <v>100</v>
      </c>
      <c r="CN13">
        <v>100</v>
      </c>
      <c r="CP13">
        <v>0</v>
      </c>
      <c r="CQ13">
        <v>119</v>
      </c>
      <c r="CR13">
        <v>119</v>
      </c>
      <c r="CS13">
        <v>119</v>
      </c>
      <c r="CT13">
        <v>116</v>
      </c>
      <c r="CU13">
        <v>116</v>
      </c>
      <c r="CV13">
        <v>116</v>
      </c>
      <c r="CW13">
        <v>111</v>
      </c>
      <c r="CX13">
        <v>111</v>
      </c>
      <c r="CY13">
        <v>111</v>
      </c>
      <c r="CZ13">
        <v>106</v>
      </c>
      <c r="DA13">
        <v>106</v>
      </c>
      <c r="DB13">
        <v>106</v>
      </c>
      <c r="DC13">
        <v>101</v>
      </c>
      <c r="DD13">
        <v>101</v>
      </c>
      <c r="DE13">
        <v>101</v>
      </c>
    </row>
    <row r="14" spans="1:114" x14ac:dyDescent="0.25">
      <c r="B14" t="s">
        <v>2</v>
      </c>
      <c r="C14" s="22"/>
      <c r="D14" t="s">
        <v>8</v>
      </c>
      <c r="I14">
        <v>1</v>
      </c>
      <c r="J14">
        <v>101</v>
      </c>
      <c r="K14">
        <v>97</v>
      </c>
      <c r="L14">
        <v>93</v>
      </c>
      <c r="M14">
        <v>99</v>
      </c>
      <c r="N14">
        <v>94</v>
      </c>
      <c r="O14">
        <v>91</v>
      </c>
      <c r="P14">
        <v>93</v>
      </c>
      <c r="Q14">
        <v>90</v>
      </c>
      <c r="R14">
        <v>87</v>
      </c>
      <c r="S14">
        <v>89</v>
      </c>
      <c r="T14">
        <v>86</v>
      </c>
      <c r="U14">
        <v>83</v>
      </c>
      <c r="V14">
        <v>84</v>
      </c>
      <c r="W14">
        <v>82</v>
      </c>
      <c r="X14">
        <v>80</v>
      </c>
      <c r="Z14">
        <v>1</v>
      </c>
      <c r="AA14">
        <v>102</v>
      </c>
      <c r="AB14">
        <v>97</v>
      </c>
      <c r="AC14">
        <v>93</v>
      </c>
      <c r="AD14">
        <v>99</v>
      </c>
      <c r="AE14">
        <v>95</v>
      </c>
      <c r="AF14">
        <v>91</v>
      </c>
      <c r="AG14">
        <v>94</v>
      </c>
      <c r="AH14">
        <v>90</v>
      </c>
      <c r="AI14">
        <v>87</v>
      </c>
      <c r="AJ14">
        <v>89</v>
      </c>
      <c r="AK14">
        <v>86</v>
      </c>
      <c r="AL14">
        <v>84</v>
      </c>
      <c r="AM14">
        <v>85</v>
      </c>
      <c r="AN14">
        <v>83</v>
      </c>
      <c r="AO14">
        <v>81</v>
      </c>
      <c r="AQ14">
        <v>1</v>
      </c>
      <c r="AR14">
        <v>102</v>
      </c>
      <c r="AS14">
        <v>98</v>
      </c>
      <c r="AT14">
        <v>94</v>
      </c>
      <c r="AU14">
        <v>100</v>
      </c>
      <c r="AV14">
        <v>96</v>
      </c>
      <c r="AW14">
        <v>92</v>
      </c>
      <c r="AX14">
        <v>95</v>
      </c>
      <c r="AY14">
        <v>92</v>
      </c>
      <c r="AZ14">
        <v>89</v>
      </c>
      <c r="BA14">
        <v>91</v>
      </c>
      <c r="BB14">
        <v>88</v>
      </c>
      <c r="BC14">
        <v>85</v>
      </c>
      <c r="BD14">
        <v>87</v>
      </c>
      <c r="BE14">
        <v>85</v>
      </c>
      <c r="BF14">
        <v>83</v>
      </c>
      <c r="BH14">
        <v>1</v>
      </c>
      <c r="BI14">
        <v>102</v>
      </c>
      <c r="BJ14">
        <v>98</v>
      </c>
      <c r="BK14">
        <v>94</v>
      </c>
      <c r="BL14">
        <v>100</v>
      </c>
      <c r="BM14">
        <v>95</v>
      </c>
      <c r="BN14">
        <v>92</v>
      </c>
      <c r="BO14">
        <v>95</v>
      </c>
      <c r="BP14">
        <v>91</v>
      </c>
      <c r="BQ14">
        <v>88</v>
      </c>
      <c r="BR14">
        <v>90</v>
      </c>
      <c r="BS14">
        <v>87</v>
      </c>
      <c r="BT14">
        <v>85</v>
      </c>
      <c r="BU14">
        <v>86</v>
      </c>
      <c r="BV14">
        <v>84</v>
      </c>
      <c r="BW14">
        <v>82</v>
      </c>
      <c r="BY14">
        <v>1</v>
      </c>
      <c r="BZ14">
        <v>103</v>
      </c>
      <c r="CA14">
        <v>99</v>
      </c>
      <c r="CB14">
        <v>95</v>
      </c>
      <c r="CC14">
        <v>100</v>
      </c>
      <c r="CD14">
        <v>96</v>
      </c>
      <c r="CE14">
        <v>93</v>
      </c>
      <c r="CF14">
        <v>96</v>
      </c>
      <c r="CG14">
        <v>92</v>
      </c>
      <c r="CH14">
        <v>89</v>
      </c>
      <c r="CI14">
        <v>91</v>
      </c>
      <c r="CJ14">
        <v>89</v>
      </c>
      <c r="CK14">
        <v>86</v>
      </c>
      <c r="CL14">
        <v>87</v>
      </c>
      <c r="CM14">
        <v>85</v>
      </c>
      <c r="CN14">
        <v>83</v>
      </c>
      <c r="CP14">
        <v>1</v>
      </c>
      <c r="CQ14">
        <v>104</v>
      </c>
      <c r="CR14">
        <v>100</v>
      </c>
      <c r="CS14">
        <v>96</v>
      </c>
      <c r="CT14">
        <v>102</v>
      </c>
      <c r="CU14">
        <v>98</v>
      </c>
      <c r="CV14">
        <v>94</v>
      </c>
      <c r="CW14">
        <v>97</v>
      </c>
      <c r="CX14">
        <v>94</v>
      </c>
      <c r="CY14">
        <v>91</v>
      </c>
      <c r="CZ14">
        <v>93</v>
      </c>
      <c r="DA14">
        <v>91</v>
      </c>
      <c r="DB14">
        <v>88</v>
      </c>
      <c r="DC14">
        <v>89</v>
      </c>
      <c r="DD14">
        <v>87</v>
      </c>
      <c r="DE14">
        <v>85</v>
      </c>
    </row>
    <row r="15" spans="1:114" x14ac:dyDescent="0.25">
      <c r="B15" t="s">
        <v>0</v>
      </c>
      <c r="C15" s="22">
        <v>2.5</v>
      </c>
      <c r="D15" t="s">
        <v>8</v>
      </c>
      <c r="I15">
        <v>2</v>
      </c>
      <c r="J15">
        <v>88</v>
      </c>
      <c r="K15">
        <v>81</v>
      </c>
      <c r="L15">
        <v>75</v>
      </c>
      <c r="M15">
        <v>86</v>
      </c>
      <c r="N15">
        <v>79</v>
      </c>
      <c r="O15">
        <v>74</v>
      </c>
      <c r="P15">
        <v>81</v>
      </c>
      <c r="Q15">
        <v>76</v>
      </c>
      <c r="R15">
        <v>71</v>
      </c>
      <c r="S15">
        <v>77</v>
      </c>
      <c r="T15">
        <v>73</v>
      </c>
      <c r="U15">
        <v>69</v>
      </c>
      <c r="V15">
        <v>74</v>
      </c>
      <c r="W15">
        <v>70</v>
      </c>
      <c r="X15">
        <v>67</v>
      </c>
      <c r="Z15">
        <v>2</v>
      </c>
      <c r="AA15">
        <v>88</v>
      </c>
      <c r="AB15">
        <v>81</v>
      </c>
      <c r="AC15">
        <v>75</v>
      </c>
      <c r="AD15">
        <v>86</v>
      </c>
      <c r="AE15">
        <v>79</v>
      </c>
      <c r="AF15">
        <v>74</v>
      </c>
      <c r="AG15">
        <v>82</v>
      </c>
      <c r="AH15">
        <v>76</v>
      </c>
      <c r="AI15">
        <v>71</v>
      </c>
      <c r="AJ15">
        <v>78</v>
      </c>
      <c r="AK15">
        <v>73</v>
      </c>
      <c r="AL15">
        <v>69</v>
      </c>
      <c r="AM15">
        <v>74</v>
      </c>
      <c r="AN15">
        <v>70</v>
      </c>
      <c r="AO15">
        <v>67</v>
      </c>
      <c r="AQ15">
        <v>2</v>
      </c>
      <c r="AR15">
        <v>89</v>
      </c>
      <c r="AS15">
        <v>82</v>
      </c>
      <c r="AT15">
        <v>76</v>
      </c>
      <c r="AU15">
        <v>87</v>
      </c>
      <c r="AV15">
        <v>80</v>
      </c>
      <c r="AW15">
        <v>75</v>
      </c>
      <c r="AX15">
        <v>83</v>
      </c>
      <c r="AY15">
        <v>77</v>
      </c>
      <c r="AZ15">
        <v>73</v>
      </c>
      <c r="BA15">
        <v>79</v>
      </c>
      <c r="BB15">
        <v>75</v>
      </c>
      <c r="BC15">
        <v>71</v>
      </c>
      <c r="BD15">
        <v>76</v>
      </c>
      <c r="BE15">
        <v>72</v>
      </c>
      <c r="BF15">
        <v>69</v>
      </c>
      <c r="BH15">
        <v>2</v>
      </c>
      <c r="BI15">
        <v>89</v>
      </c>
      <c r="BJ15">
        <v>82</v>
      </c>
      <c r="BK15">
        <v>76</v>
      </c>
      <c r="BL15">
        <v>87</v>
      </c>
      <c r="BM15">
        <v>80</v>
      </c>
      <c r="BN15">
        <v>75</v>
      </c>
      <c r="BO15">
        <v>82</v>
      </c>
      <c r="BP15">
        <v>77</v>
      </c>
      <c r="BQ15">
        <v>72</v>
      </c>
      <c r="BR15">
        <v>79</v>
      </c>
      <c r="BS15">
        <v>74</v>
      </c>
      <c r="BT15">
        <v>70</v>
      </c>
      <c r="BU15">
        <v>75</v>
      </c>
      <c r="BV15">
        <v>71</v>
      </c>
      <c r="BW15">
        <v>68</v>
      </c>
      <c r="BY15">
        <v>2</v>
      </c>
      <c r="BZ15">
        <v>89</v>
      </c>
      <c r="CA15">
        <v>82</v>
      </c>
      <c r="CB15">
        <v>76</v>
      </c>
      <c r="CC15">
        <v>87</v>
      </c>
      <c r="CD15">
        <v>81</v>
      </c>
      <c r="CE15">
        <v>75</v>
      </c>
      <c r="CF15">
        <v>83</v>
      </c>
      <c r="CG15">
        <v>78</v>
      </c>
      <c r="CH15">
        <v>73</v>
      </c>
      <c r="CI15">
        <v>80</v>
      </c>
      <c r="CJ15">
        <v>75</v>
      </c>
      <c r="CK15">
        <v>71</v>
      </c>
      <c r="CL15">
        <v>76</v>
      </c>
      <c r="CM15">
        <v>73</v>
      </c>
      <c r="CN15">
        <v>69</v>
      </c>
      <c r="CP15">
        <v>2</v>
      </c>
      <c r="CQ15">
        <v>90</v>
      </c>
      <c r="CR15">
        <v>84</v>
      </c>
      <c r="CS15">
        <v>78</v>
      </c>
      <c r="CT15">
        <v>88</v>
      </c>
      <c r="CU15">
        <v>82</v>
      </c>
      <c r="CV15">
        <v>77</v>
      </c>
      <c r="CW15">
        <v>85</v>
      </c>
      <c r="CX15">
        <v>80</v>
      </c>
      <c r="CY15">
        <v>75</v>
      </c>
      <c r="CZ15">
        <v>81</v>
      </c>
      <c r="DA15">
        <v>77</v>
      </c>
      <c r="DB15">
        <v>73</v>
      </c>
      <c r="DC15">
        <v>78</v>
      </c>
      <c r="DD15">
        <v>75</v>
      </c>
      <c r="DE15">
        <v>71</v>
      </c>
    </row>
    <row r="16" spans="1:114" x14ac:dyDescent="0.25">
      <c r="B16" t="s">
        <v>4</v>
      </c>
      <c r="C16" s="15" t="e">
        <f>(5*(C14-C15)*(C11+C12))/(C11*C12)</f>
        <v>#DIV/0!</v>
      </c>
      <c r="I16">
        <v>3</v>
      </c>
      <c r="J16">
        <v>77</v>
      </c>
      <c r="K16">
        <v>69</v>
      </c>
      <c r="L16">
        <v>62</v>
      </c>
      <c r="M16">
        <v>75</v>
      </c>
      <c r="N16">
        <v>68</v>
      </c>
      <c r="O16">
        <v>61</v>
      </c>
      <c r="P16">
        <v>72</v>
      </c>
      <c r="Q16">
        <v>65</v>
      </c>
      <c r="R16">
        <v>60</v>
      </c>
      <c r="S16">
        <v>68</v>
      </c>
      <c r="T16">
        <v>63</v>
      </c>
      <c r="U16">
        <v>58</v>
      </c>
      <c r="V16">
        <v>65</v>
      </c>
      <c r="W16">
        <v>60</v>
      </c>
      <c r="X16">
        <v>56</v>
      </c>
      <c r="Z16">
        <v>3</v>
      </c>
      <c r="AA16">
        <v>77</v>
      </c>
      <c r="AB16">
        <v>69</v>
      </c>
      <c r="AC16">
        <v>62</v>
      </c>
      <c r="AD16">
        <v>75</v>
      </c>
      <c r="AE16">
        <v>67</v>
      </c>
      <c r="AF16">
        <v>61</v>
      </c>
      <c r="AG16">
        <v>72</v>
      </c>
      <c r="AH16">
        <v>65</v>
      </c>
      <c r="AI16">
        <v>59</v>
      </c>
      <c r="AJ16">
        <v>68</v>
      </c>
      <c r="AK16">
        <v>63</v>
      </c>
      <c r="AL16">
        <v>58</v>
      </c>
      <c r="AM16">
        <v>65</v>
      </c>
      <c r="AN16">
        <v>60</v>
      </c>
      <c r="AO16">
        <v>56</v>
      </c>
      <c r="AQ16">
        <v>3</v>
      </c>
      <c r="AR16">
        <v>78</v>
      </c>
      <c r="AS16">
        <v>69</v>
      </c>
      <c r="AT16">
        <v>63</v>
      </c>
      <c r="AU16">
        <v>76</v>
      </c>
      <c r="AV16">
        <v>68</v>
      </c>
      <c r="AW16">
        <v>62</v>
      </c>
      <c r="AX16">
        <v>73</v>
      </c>
      <c r="AY16">
        <v>66</v>
      </c>
      <c r="AZ16">
        <v>61</v>
      </c>
      <c r="BA16">
        <v>70</v>
      </c>
      <c r="BB16">
        <v>64</v>
      </c>
      <c r="BC16">
        <v>59</v>
      </c>
      <c r="BD16">
        <v>67</v>
      </c>
      <c r="BE16">
        <v>62</v>
      </c>
      <c r="BF16">
        <v>58</v>
      </c>
      <c r="BH16">
        <v>3</v>
      </c>
      <c r="BI16">
        <v>78</v>
      </c>
      <c r="BJ16">
        <v>70</v>
      </c>
      <c r="BK16">
        <v>63</v>
      </c>
      <c r="BL16">
        <v>76</v>
      </c>
      <c r="BM16">
        <v>68</v>
      </c>
      <c r="BN16">
        <v>62</v>
      </c>
      <c r="BO16">
        <v>73</v>
      </c>
      <c r="BP16">
        <v>66</v>
      </c>
      <c r="BQ16">
        <v>61</v>
      </c>
      <c r="BR16">
        <v>69</v>
      </c>
      <c r="BS16">
        <v>64</v>
      </c>
      <c r="BT16">
        <v>59</v>
      </c>
      <c r="BU16">
        <v>66</v>
      </c>
      <c r="BV16">
        <v>62</v>
      </c>
      <c r="BW16">
        <v>58</v>
      </c>
      <c r="BY16">
        <v>3</v>
      </c>
      <c r="BZ16">
        <v>78</v>
      </c>
      <c r="CA16">
        <v>70</v>
      </c>
      <c r="CB16">
        <v>63</v>
      </c>
      <c r="CC16">
        <v>76</v>
      </c>
      <c r="CD16">
        <v>69</v>
      </c>
      <c r="CE16">
        <v>62</v>
      </c>
      <c r="CF16">
        <v>73</v>
      </c>
      <c r="CG16">
        <v>66</v>
      </c>
      <c r="CH16">
        <v>61</v>
      </c>
      <c r="CI16">
        <v>70</v>
      </c>
      <c r="CJ16">
        <v>64</v>
      </c>
      <c r="CK16">
        <v>60</v>
      </c>
      <c r="CL16">
        <v>67</v>
      </c>
      <c r="CM16">
        <v>62</v>
      </c>
      <c r="CN16">
        <v>58</v>
      </c>
      <c r="CP16">
        <v>3</v>
      </c>
      <c r="CQ16">
        <v>79</v>
      </c>
      <c r="CR16">
        <v>71</v>
      </c>
      <c r="CS16">
        <v>65</v>
      </c>
      <c r="CT16">
        <v>78</v>
      </c>
      <c r="CU16">
        <v>70</v>
      </c>
      <c r="CV16">
        <v>64</v>
      </c>
      <c r="CW16">
        <v>75</v>
      </c>
      <c r="CX16">
        <v>68</v>
      </c>
      <c r="CY16">
        <v>63</v>
      </c>
      <c r="CZ16">
        <v>72</v>
      </c>
      <c r="DA16">
        <v>66</v>
      </c>
      <c r="DB16">
        <v>61</v>
      </c>
      <c r="DC16">
        <v>69</v>
      </c>
      <c r="DD16">
        <v>64</v>
      </c>
      <c r="DE16">
        <v>60</v>
      </c>
    </row>
    <row r="17" spans="1:114" x14ac:dyDescent="0.25">
      <c r="B17" t="s">
        <v>5</v>
      </c>
      <c r="C17" s="22">
        <v>70</v>
      </c>
      <c r="I17">
        <v>4</v>
      </c>
      <c r="J17">
        <v>68</v>
      </c>
      <c r="K17">
        <v>60</v>
      </c>
      <c r="L17">
        <v>53</v>
      </c>
      <c r="M17">
        <v>67</v>
      </c>
      <c r="N17">
        <v>58</v>
      </c>
      <c r="O17">
        <v>52</v>
      </c>
      <c r="P17">
        <v>64</v>
      </c>
      <c r="Q17">
        <v>56</v>
      </c>
      <c r="R17">
        <v>51</v>
      </c>
      <c r="S17">
        <v>61</v>
      </c>
      <c r="T17">
        <v>55</v>
      </c>
      <c r="U17">
        <v>50</v>
      </c>
      <c r="V17">
        <v>58</v>
      </c>
      <c r="W17">
        <v>53</v>
      </c>
      <c r="X17">
        <v>48</v>
      </c>
      <c r="Z17">
        <v>4</v>
      </c>
      <c r="AA17">
        <v>68</v>
      </c>
      <c r="AB17">
        <v>59</v>
      </c>
      <c r="AC17">
        <v>52</v>
      </c>
      <c r="AD17">
        <v>66</v>
      </c>
      <c r="AE17">
        <v>58</v>
      </c>
      <c r="AF17">
        <v>52</v>
      </c>
      <c r="AG17">
        <v>63</v>
      </c>
      <c r="AH17">
        <v>56</v>
      </c>
      <c r="AI17">
        <v>50</v>
      </c>
      <c r="AJ17">
        <v>61</v>
      </c>
      <c r="AK17">
        <v>54</v>
      </c>
      <c r="AL17">
        <v>49</v>
      </c>
      <c r="AM17">
        <v>58</v>
      </c>
      <c r="AN17">
        <v>53</v>
      </c>
      <c r="AO17">
        <v>48</v>
      </c>
      <c r="AQ17">
        <v>4</v>
      </c>
      <c r="AR17">
        <v>69</v>
      </c>
      <c r="AS17">
        <v>60</v>
      </c>
      <c r="AT17">
        <v>53</v>
      </c>
      <c r="AU17">
        <v>67</v>
      </c>
      <c r="AV17">
        <v>59</v>
      </c>
      <c r="AW17">
        <v>52</v>
      </c>
      <c r="AX17">
        <v>65</v>
      </c>
      <c r="AY17">
        <v>57</v>
      </c>
      <c r="AZ17">
        <v>51</v>
      </c>
      <c r="BA17">
        <v>62</v>
      </c>
      <c r="BB17">
        <v>56</v>
      </c>
      <c r="BC17">
        <v>51</v>
      </c>
      <c r="BD17">
        <v>59</v>
      </c>
      <c r="BE17">
        <v>54</v>
      </c>
      <c r="BF17">
        <v>50</v>
      </c>
      <c r="BH17">
        <v>4</v>
      </c>
      <c r="BI17">
        <v>69</v>
      </c>
      <c r="BJ17">
        <v>60</v>
      </c>
      <c r="BK17">
        <v>53</v>
      </c>
      <c r="BL17">
        <v>67</v>
      </c>
      <c r="BM17">
        <v>59</v>
      </c>
      <c r="BN17">
        <v>53</v>
      </c>
      <c r="BO17">
        <v>64</v>
      </c>
      <c r="BP17">
        <v>57</v>
      </c>
      <c r="BQ17">
        <v>52</v>
      </c>
      <c r="BR17">
        <v>62</v>
      </c>
      <c r="BS17">
        <v>55</v>
      </c>
      <c r="BT17">
        <v>50</v>
      </c>
      <c r="BU17">
        <v>59</v>
      </c>
      <c r="BV17">
        <v>54</v>
      </c>
      <c r="BW17">
        <v>49</v>
      </c>
      <c r="BY17">
        <v>4</v>
      </c>
      <c r="BZ17">
        <v>69</v>
      </c>
      <c r="CA17">
        <v>60</v>
      </c>
      <c r="CB17">
        <v>53</v>
      </c>
      <c r="CC17">
        <v>68</v>
      </c>
      <c r="CD17">
        <v>59</v>
      </c>
      <c r="CE17">
        <v>53</v>
      </c>
      <c r="CF17">
        <v>65</v>
      </c>
      <c r="CG17">
        <v>57</v>
      </c>
      <c r="CH17">
        <v>52</v>
      </c>
      <c r="CI17">
        <v>62</v>
      </c>
      <c r="CJ17">
        <v>56</v>
      </c>
      <c r="CK17">
        <v>51</v>
      </c>
      <c r="CL17">
        <v>60</v>
      </c>
      <c r="CM17">
        <v>54</v>
      </c>
      <c r="CN17">
        <v>50</v>
      </c>
      <c r="CP17">
        <v>4</v>
      </c>
      <c r="CQ17">
        <v>70</v>
      </c>
      <c r="CR17">
        <v>61</v>
      </c>
      <c r="CS17">
        <v>55</v>
      </c>
      <c r="CT17">
        <v>69</v>
      </c>
      <c r="CU17">
        <v>60</v>
      </c>
      <c r="CV17">
        <v>54</v>
      </c>
      <c r="CW17">
        <v>66</v>
      </c>
      <c r="CX17">
        <v>59</v>
      </c>
      <c r="CY17">
        <v>53</v>
      </c>
      <c r="CZ17">
        <v>64</v>
      </c>
      <c r="DA17">
        <v>57</v>
      </c>
      <c r="DB17">
        <v>52</v>
      </c>
      <c r="DC17">
        <v>61</v>
      </c>
      <c r="DD17">
        <v>56</v>
      </c>
      <c r="DE17">
        <v>52</v>
      </c>
    </row>
    <row r="18" spans="1:114" x14ac:dyDescent="0.25">
      <c r="B18" t="s">
        <v>6</v>
      </c>
      <c r="C18" s="22">
        <v>30</v>
      </c>
      <c r="I18">
        <v>5</v>
      </c>
      <c r="J18">
        <v>61</v>
      </c>
      <c r="K18">
        <v>52</v>
      </c>
      <c r="L18">
        <v>45</v>
      </c>
      <c r="M18">
        <v>60</v>
      </c>
      <c r="N18">
        <v>51</v>
      </c>
      <c r="O18">
        <v>45</v>
      </c>
      <c r="P18">
        <v>57</v>
      </c>
      <c r="Q18">
        <v>50</v>
      </c>
      <c r="R18">
        <v>44</v>
      </c>
      <c r="S18">
        <v>55</v>
      </c>
      <c r="T18">
        <v>48</v>
      </c>
      <c r="U18">
        <v>43</v>
      </c>
      <c r="V18">
        <v>52</v>
      </c>
      <c r="W18">
        <v>47</v>
      </c>
      <c r="X18">
        <v>42</v>
      </c>
      <c r="Z18">
        <v>5</v>
      </c>
      <c r="AA18">
        <v>61</v>
      </c>
      <c r="AB18">
        <v>52</v>
      </c>
      <c r="AC18">
        <v>45</v>
      </c>
      <c r="AD18">
        <v>59</v>
      </c>
      <c r="AE18">
        <v>51</v>
      </c>
      <c r="AF18">
        <v>44</v>
      </c>
      <c r="AG18">
        <v>57</v>
      </c>
      <c r="AH18">
        <v>49</v>
      </c>
      <c r="AI18">
        <v>43</v>
      </c>
      <c r="AJ18">
        <v>54</v>
      </c>
      <c r="AK18">
        <v>48</v>
      </c>
      <c r="AL18">
        <v>43</v>
      </c>
      <c r="AM18">
        <v>52</v>
      </c>
      <c r="AN18">
        <v>46</v>
      </c>
      <c r="AO18">
        <v>42</v>
      </c>
      <c r="AQ18">
        <v>5</v>
      </c>
      <c r="AR18">
        <v>61</v>
      </c>
      <c r="AS18">
        <v>52</v>
      </c>
      <c r="AT18">
        <v>46</v>
      </c>
      <c r="AU18">
        <v>60</v>
      </c>
      <c r="AV18">
        <v>52</v>
      </c>
      <c r="AW18">
        <v>45</v>
      </c>
      <c r="AX18">
        <v>58</v>
      </c>
      <c r="AY18">
        <v>50</v>
      </c>
      <c r="AZ18">
        <v>44</v>
      </c>
      <c r="BA18">
        <v>56</v>
      </c>
      <c r="BB18">
        <v>49</v>
      </c>
      <c r="BC18">
        <v>44</v>
      </c>
      <c r="BD18">
        <v>53</v>
      </c>
      <c r="BE18">
        <v>48</v>
      </c>
      <c r="BF18">
        <v>43</v>
      </c>
      <c r="BH18">
        <v>5</v>
      </c>
      <c r="BI18">
        <v>62</v>
      </c>
      <c r="BJ18">
        <v>53</v>
      </c>
      <c r="BK18">
        <v>46</v>
      </c>
      <c r="BL18">
        <v>60</v>
      </c>
      <c r="BM18">
        <v>52</v>
      </c>
      <c r="BN18">
        <v>45</v>
      </c>
      <c r="BO18">
        <v>58</v>
      </c>
      <c r="BP18">
        <v>50</v>
      </c>
      <c r="BQ18">
        <v>45</v>
      </c>
      <c r="BR18">
        <v>55</v>
      </c>
      <c r="BS18">
        <v>49</v>
      </c>
      <c r="BT18">
        <v>44</v>
      </c>
      <c r="BU18">
        <v>53</v>
      </c>
      <c r="BV18">
        <v>47</v>
      </c>
      <c r="BW18">
        <v>43</v>
      </c>
      <c r="BY18">
        <v>5</v>
      </c>
      <c r="BZ18">
        <v>62</v>
      </c>
      <c r="CA18">
        <v>52</v>
      </c>
      <c r="CB18">
        <v>46</v>
      </c>
      <c r="CC18">
        <v>60</v>
      </c>
      <c r="CD18">
        <v>52</v>
      </c>
      <c r="CE18">
        <v>45</v>
      </c>
      <c r="CF18">
        <v>58</v>
      </c>
      <c r="CG18">
        <v>50</v>
      </c>
      <c r="CH18">
        <v>45</v>
      </c>
      <c r="CI18">
        <v>56</v>
      </c>
      <c r="CJ18">
        <v>49</v>
      </c>
      <c r="CK18">
        <v>44</v>
      </c>
      <c r="CL18">
        <v>53</v>
      </c>
      <c r="CM18">
        <v>48</v>
      </c>
      <c r="CN18">
        <v>43</v>
      </c>
      <c r="CP18">
        <v>5</v>
      </c>
      <c r="CQ18">
        <v>63</v>
      </c>
      <c r="CR18">
        <v>53</v>
      </c>
      <c r="CS18">
        <v>47</v>
      </c>
      <c r="CT18">
        <v>61</v>
      </c>
      <c r="CU18">
        <v>53</v>
      </c>
      <c r="CV18">
        <v>46</v>
      </c>
      <c r="CW18">
        <v>59</v>
      </c>
      <c r="CX18">
        <v>52</v>
      </c>
      <c r="CY18">
        <v>46</v>
      </c>
      <c r="CZ18">
        <v>57</v>
      </c>
      <c r="DA18">
        <v>50</v>
      </c>
      <c r="DB18">
        <v>45</v>
      </c>
      <c r="DC18">
        <v>55</v>
      </c>
      <c r="DD18">
        <v>49</v>
      </c>
      <c r="DE18">
        <v>45</v>
      </c>
    </row>
    <row r="19" spans="1:114" x14ac:dyDescent="0.25">
      <c r="B19" t="s">
        <v>7</v>
      </c>
      <c r="C19">
        <v>20</v>
      </c>
      <c r="I19">
        <v>6</v>
      </c>
      <c r="J19">
        <v>55</v>
      </c>
      <c r="K19">
        <v>46</v>
      </c>
      <c r="L19">
        <v>40</v>
      </c>
      <c r="M19">
        <v>54</v>
      </c>
      <c r="N19">
        <v>45</v>
      </c>
      <c r="O19">
        <v>39</v>
      </c>
      <c r="P19">
        <v>52</v>
      </c>
      <c r="Q19">
        <v>44</v>
      </c>
      <c r="R19">
        <v>39</v>
      </c>
      <c r="S19">
        <v>49</v>
      </c>
      <c r="T19">
        <v>43</v>
      </c>
      <c r="U19">
        <v>38</v>
      </c>
      <c r="V19">
        <v>47</v>
      </c>
      <c r="W19">
        <v>42</v>
      </c>
      <c r="X19">
        <v>37</v>
      </c>
      <c r="Z19">
        <v>6</v>
      </c>
      <c r="AA19">
        <v>55</v>
      </c>
      <c r="AB19">
        <v>45</v>
      </c>
      <c r="AC19">
        <v>39</v>
      </c>
      <c r="AD19">
        <v>53</v>
      </c>
      <c r="AE19">
        <v>45</v>
      </c>
      <c r="AF19">
        <v>39</v>
      </c>
      <c r="AG19">
        <v>51</v>
      </c>
      <c r="AH19">
        <v>44</v>
      </c>
      <c r="AI19">
        <v>38</v>
      </c>
      <c r="AJ19">
        <v>49</v>
      </c>
      <c r="AK19">
        <v>42</v>
      </c>
      <c r="AL19">
        <v>37</v>
      </c>
      <c r="AM19">
        <v>47</v>
      </c>
      <c r="AN19">
        <v>41</v>
      </c>
      <c r="AO19">
        <v>37</v>
      </c>
      <c r="AQ19">
        <v>6</v>
      </c>
      <c r="AR19">
        <v>55</v>
      </c>
      <c r="AS19">
        <v>46</v>
      </c>
      <c r="AT19">
        <v>40</v>
      </c>
      <c r="AU19">
        <v>54</v>
      </c>
      <c r="AV19">
        <v>46</v>
      </c>
      <c r="AW19">
        <v>39</v>
      </c>
      <c r="AX19">
        <v>52</v>
      </c>
      <c r="AY19">
        <v>45</v>
      </c>
      <c r="AZ19">
        <v>39</v>
      </c>
      <c r="BA19">
        <v>50</v>
      </c>
      <c r="BB19">
        <v>43</v>
      </c>
      <c r="BC19">
        <v>38</v>
      </c>
      <c r="BD19">
        <v>48</v>
      </c>
      <c r="BE19">
        <v>42</v>
      </c>
      <c r="BF19">
        <v>38</v>
      </c>
      <c r="BH19">
        <v>6</v>
      </c>
      <c r="BI19">
        <v>55</v>
      </c>
      <c r="BJ19">
        <v>46</v>
      </c>
      <c r="BK19">
        <v>40</v>
      </c>
      <c r="BL19">
        <v>54</v>
      </c>
      <c r="BM19">
        <v>46</v>
      </c>
      <c r="BN19">
        <v>40</v>
      </c>
      <c r="BO19">
        <v>52</v>
      </c>
      <c r="BP19">
        <v>45</v>
      </c>
      <c r="BQ19">
        <v>39</v>
      </c>
      <c r="BR19">
        <v>50</v>
      </c>
      <c r="BS19">
        <v>43</v>
      </c>
      <c r="BT19">
        <v>38</v>
      </c>
      <c r="BU19">
        <v>48</v>
      </c>
      <c r="BV19">
        <v>42</v>
      </c>
      <c r="BW19">
        <v>38</v>
      </c>
      <c r="BY19">
        <v>6</v>
      </c>
      <c r="BZ19">
        <v>55</v>
      </c>
      <c r="CA19">
        <v>46</v>
      </c>
      <c r="CB19">
        <v>40</v>
      </c>
      <c r="CC19">
        <v>54</v>
      </c>
      <c r="CD19">
        <v>46</v>
      </c>
      <c r="CE19">
        <v>39</v>
      </c>
      <c r="CF19">
        <v>52</v>
      </c>
      <c r="CG19">
        <v>45</v>
      </c>
      <c r="CH19">
        <v>39</v>
      </c>
      <c r="CI19">
        <v>50</v>
      </c>
      <c r="CJ19">
        <v>43</v>
      </c>
      <c r="CK19">
        <v>38</v>
      </c>
      <c r="CL19">
        <v>48</v>
      </c>
      <c r="CM19">
        <v>42</v>
      </c>
      <c r="CN19">
        <v>38</v>
      </c>
      <c r="CP19">
        <v>6</v>
      </c>
      <c r="CQ19">
        <v>56</v>
      </c>
      <c r="CR19">
        <v>47</v>
      </c>
      <c r="CS19">
        <v>41</v>
      </c>
      <c r="CT19">
        <v>55</v>
      </c>
      <c r="CU19">
        <v>47</v>
      </c>
      <c r="CV19">
        <v>41</v>
      </c>
      <c r="CW19">
        <v>53</v>
      </c>
      <c r="CX19">
        <v>46</v>
      </c>
      <c r="CY19">
        <v>40</v>
      </c>
      <c r="CZ19">
        <v>52</v>
      </c>
      <c r="DA19">
        <v>45</v>
      </c>
      <c r="DB19">
        <v>40</v>
      </c>
      <c r="DC19">
        <v>50</v>
      </c>
      <c r="DD19">
        <v>44</v>
      </c>
      <c r="DE19">
        <v>39</v>
      </c>
    </row>
    <row r="20" spans="1:114" x14ac:dyDescent="0.25">
      <c r="I20">
        <v>7</v>
      </c>
      <c r="J20">
        <v>50</v>
      </c>
      <c r="K20">
        <v>41</v>
      </c>
      <c r="L20">
        <v>35</v>
      </c>
      <c r="M20">
        <v>49</v>
      </c>
      <c r="N20">
        <v>41</v>
      </c>
      <c r="O20">
        <v>35</v>
      </c>
      <c r="P20">
        <v>47</v>
      </c>
      <c r="Q20">
        <v>40</v>
      </c>
      <c r="R20">
        <v>34</v>
      </c>
      <c r="S20">
        <v>45</v>
      </c>
      <c r="T20">
        <v>39</v>
      </c>
      <c r="U20">
        <v>34</v>
      </c>
      <c r="V20">
        <v>43</v>
      </c>
      <c r="W20">
        <v>37</v>
      </c>
      <c r="X20">
        <v>33</v>
      </c>
      <c r="Z20">
        <v>7</v>
      </c>
      <c r="AA20">
        <v>49</v>
      </c>
      <c r="AB20">
        <v>41</v>
      </c>
      <c r="AC20">
        <v>34</v>
      </c>
      <c r="AD20">
        <v>48</v>
      </c>
      <c r="AE20">
        <v>40</v>
      </c>
      <c r="AF20">
        <v>34</v>
      </c>
      <c r="AG20">
        <v>46</v>
      </c>
      <c r="AH20">
        <v>39</v>
      </c>
      <c r="AI20">
        <v>33</v>
      </c>
      <c r="AJ20">
        <v>45</v>
      </c>
      <c r="AK20">
        <v>38</v>
      </c>
      <c r="AL20">
        <v>33</v>
      </c>
      <c r="AM20">
        <v>43</v>
      </c>
      <c r="AN20">
        <v>37</v>
      </c>
      <c r="AO20">
        <v>32</v>
      </c>
      <c r="AQ20">
        <v>7</v>
      </c>
      <c r="AR20">
        <v>50</v>
      </c>
      <c r="AS20">
        <v>41</v>
      </c>
      <c r="AT20">
        <v>35</v>
      </c>
      <c r="AU20">
        <v>49</v>
      </c>
      <c r="AV20">
        <v>41</v>
      </c>
      <c r="AW20">
        <v>35</v>
      </c>
      <c r="AX20">
        <v>47</v>
      </c>
      <c r="AY20">
        <v>40</v>
      </c>
      <c r="AZ20">
        <v>34</v>
      </c>
      <c r="BA20">
        <v>46</v>
      </c>
      <c r="BB20">
        <v>39</v>
      </c>
      <c r="BC20">
        <v>34</v>
      </c>
      <c r="BD20">
        <v>44</v>
      </c>
      <c r="BE20">
        <v>38</v>
      </c>
      <c r="BF20">
        <v>33</v>
      </c>
      <c r="BH20">
        <v>7</v>
      </c>
      <c r="BI20">
        <v>50</v>
      </c>
      <c r="BJ20">
        <v>41</v>
      </c>
      <c r="BK20">
        <v>35</v>
      </c>
      <c r="BL20">
        <v>49</v>
      </c>
      <c r="BM20">
        <v>41</v>
      </c>
      <c r="BN20">
        <v>35</v>
      </c>
      <c r="BO20">
        <v>47</v>
      </c>
      <c r="BP20">
        <v>40</v>
      </c>
      <c r="BQ20">
        <v>35</v>
      </c>
      <c r="BR20">
        <v>46</v>
      </c>
      <c r="BS20">
        <v>39</v>
      </c>
      <c r="BT20">
        <v>34</v>
      </c>
      <c r="BU20">
        <v>44</v>
      </c>
      <c r="BV20">
        <v>38</v>
      </c>
      <c r="BW20">
        <v>33</v>
      </c>
      <c r="BY20">
        <v>7</v>
      </c>
      <c r="BZ20">
        <v>50</v>
      </c>
      <c r="CA20">
        <v>41</v>
      </c>
      <c r="CB20">
        <v>35</v>
      </c>
      <c r="CC20">
        <v>49</v>
      </c>
      <c r="CD20">
        <v>41</v>
      </c>
      <c r="CE20">
        <v>35</v>
      </c>
      <c r="CF20">
        <v>47</v>
      </c>
      <c r="CG20">
        <v>40</v>
      </c>
      <c r="CH20">
        <v>34</v>
      </c>
      <c r="CI20">
        <v>46</v>
      </c>
      <c r="CJ20">
        <v>39</v>
      </c>
      <c r="CK20">
        <v>34</v>
      </c>
      <c r="CL20">
        <v>44</v>
      </c>
      <c r="CM20">
        <v>38</v>
      </c>
      <c r="CN20">
        <v>33</v>
      </c>
      <c r="CP20">
        <v>7</v>
      </c>
      <c r="CQ20">
        <v>51</v>
      </c>
      <c r="CR20">
        <v>42</v>
      </c>
      <c r="CS20">
        <v>36</v>
      </c>
      <c r="CT20">
        <v>50</v>
      </c>
      <c r="CU20">
        <v>42</v>
      </c>
      <c r="CV20">
        <v>36</v>
      </c>
      <c r="CW20">
        <v>48</v>
      </c>
      <c r="CX20">
        <v>41</v>
      </c>
      <c r="CY20">
        <v>35</v>
      </c>
      <c r="CZ20">
        <v>47</v>
      </c>
      <c r="DA20">
        <v>40</v>
      </c>
      <c r="DB20">
        <v>35</v>
      </c>
      <c r="DC20">
        <v>45</v>
      </c>
      <c r="DD20">
        <v>39</v>
      </c>
      <c r="DE20">
        <v>35</v>
      </c>
    </row>
    <row r="21" spans="1:114" x14ac:dyDescent="0.25">
      <c r="A21" s="2" t="s">
        <v>112</v>
      </c>
      <c r="B21" t="s">
        <v>107</v>
      </c>
      <c r="C21" s="22"/>
      <c r="E21" s="12" t="str">
        <f>IF(ISNUMBER(SEARCH("FRA",C21)),"FRA",IF(ISNUMBER(SEARCH("FDA",C21)),"FDA",IF(ISNUMBER(SEARCH("FSA",C21)),"FSA",IF(ISNUMBER(SEARCH("CRA",C21)),"CRA",IF(ISNUMBER(SEARCH("CDA",C21)),"CDA","CSA")))))</f>
        <v>CSA</v>
      </c>
      <c r="I21">
        <v>8</v>
      </c>
      <c r="J21">
        <v>46</v>
      </c>
      <c r="K21">
        <v>37</v>
      </c>
      <c r="L21">
        <v>31</v>
      </c>
      <c r="M21">
        <v>45</v>
      </c>
      <c r="N21">
        <v>37</v>
      </c>
      <c r="O21">
        <v>31</v>
      </c>
      <c r="P21">
        <v>43</v>
      </c>
      <c r="Q21">
        <v>36</v>
      </c>
      <c r="R21">
        <v>31</v>
      </c>
      <c r="S21">
        <v>41</v>
      </c>
      <c r="T21">
        <v>35</v>
      </c>
      <c r="U21">
        <v>30</v>
      </c>
      <c r="V21">
        <v>40</v>
      </c>
      <c r="W21">
        <v>34</v>
      </c>
      <c r="X21">
        <v>30</v>
      </c>
      <c r="Z21">
        <v>8</v>
      </c>
      <c r="AA21">
        <v>45</v>
      </c>
      <c r="AB21">
        <v>36</v>
      </c>
      <c r="AC21">
        <v>31</v>
      </c>
      <c r="AD21">
        <v>44</v>
      </c>
      <c r="AE21">
        <v>36</v>
      </c>
      <c r="AF21">
        <v>30</v>
      </c>
      <c r="AG21">
        <v>42</v>
      </c>
      <c r="AH21">
        <v>35</v>
      </c>
      <c r="AI21">
        <v>30</v>
      </c>
      <c r="AJ21">
        <v>41</v>
      </c>
      <c r="AK21">
        <v>34</v>
      </c>
      <c r="AL21">
        <v>29</v>
      </c>
      <c r="AM21">
        <v>39</v>
      </c>
      <c r="AN21">
        <v>33</v>
      </c>
      <c r="AO21">
        <v>29</v>
      </c>
      <c r="AQ21">
        <v>8</v>
      </c>
      <c r="AR21">
        <v>46</v>
      </c>
      <c r="AS21">
        <v>37</v>
      </c>
      <c r="AT21">
        <v>31</v>
      </c>
      <c r="AU21">
        <v>45</v>
      </c>
      <c r="AV21">
        <v>37</v>
      </c>
      <c r="AW21">
        <v>31</v>
      </c>
      <c r="AX21">
        <v>43</v>
      </c>
      <c r="AY21">
        <v>36</v>
      </c>
      <c r="AZ21">
        <v>31</v>
      </c>
      <c r="BA21">
        <v>42</v>
      </c>
      <c r="BB21">
        <v>35</v>
      </c>
      <c r="BC21">
        <v>30</v>
      </c>
      <c r="BD21">
        <v>41</v>
      </c>
      <c r="BE21">
        <v>34</v>
      </c>
      <c r="BF21">
        <v>30</v>
      </c>
      <c r="BH21">
        <v>8</v>
      </c>
      <c r="BI21">
        <v>46</v>
      </c>
      <c r="BJ21">
        <v>37</v>
      </c>
      <c r="BK21">
        <v>31</v>
      </c>
      <c r="BL21">
        <v>45</v>
      </c>
      <c r="BM21">
        <v>37</v>
      </c>
      <c r="BN21">
        <v>31</v>
      </c>
      <c r="BO21">
        <v>43</v>
      </c>
      <c r="BP21">
        <v>36</v>
      </c>
      <c r="BQ21">
        <v>31</v>
      </c>
      <c r="BR21">
        <v>42</v>
      </c>
      <c r="BS21">
        <v>35</v>
      </c>
      <c r="BT21">
        <v>30</v>
      </c>
      <c r="BU21">
        <v>40</v>
      </c>
      <c r="BV21">
        <v>34</v>
      </c>
      <c r="BW21">
        <v>30</v>
      </c>
      <c r="BY21">
        <v>8</v>
      </c>
      <c r="BZ21">
        <v>46</v>
      </c>
      <c r="CA21">
        <v>37</v>
      </c>
      <c r="CB21">
        <v>31</v>
      </c>
      <c r="CC21">
        <v>45</v>
      </c>
      <c r="CD21">
        <v>37</v>
      </c>
      <c r="CE21">
        <v>31</v>
      </c>
      <c r="CF21">
        <v>43</v>
      </c>
      <c r="CG21">
        <v>36</v>
      </c>
      <c r="CH21">
        <v>31</v>
      </c>
      <c r="CI21">
        <v>42</v>
      </c>
      <c r="CJ21">
        <v>35</v>
      </c>
      <c r="CK21">
        <v>30</v>
      </c>
      <c r="CL21">
        <v>40</v>
      </c>
      <c r="CM21">
        <v>34</v>
      </c>
      <c r="CN21">
        <v>30</v>
      </c>
      <c r="CP21">
        <v>8</v>
      </c>
      <c r="CQ21">
        <v>46</v>
      </c>
      <c r="CR21">
        <v>38</v>
      </c>
      <c r="CS21">
        <v>32</v>
      </c>
      <c r="CT21">
        <v>46</v>
      </c>
      <c r="CU21">
        <v>37</v>
      </c>
      <c r="CV21">
        <v>32</v>
      </c>
      <c r="CW21">
        <v>44</v>
      </c>
      <c r="CX21">
        <v>37</v>
      </c>
      <c r="CY21">
        <v>32</v>
      </c>
      <c r="CZ21">
        <v>43</v>
      </c>
      <c r="DA21">
        <v>36</v>
      </c>
      <c r="DB21">
        <v>31</v>
      </c>
      <c r="DC21">
        <v>42</v>
      </c>
      <c r="DD21">
        <v>36</v>
      </c>
      <c r="DE21">
        <v>31</v>
      </c>
    </row>
    <row r="22" spans="1:114" x14ac:dyDescent="0.25">
      <c r="B22" t="s">
        <v>30</v>
      </c>
      <c r="C22" s="4" t="e">
        <f>VLOOKUP(C21,Model5237383123[],2,0)</f>
        <v>#N/A</v>
      </c>
      <c r="D22" t="s">
        <v>131</v>
      </c>
      <c r="I22">
        <v>9</v>
      </c>
      <c r="J22">
        <v>42</v>
      </c>
      <c r="K22">
        <v>34</v>
      </c>
      <c r="L22">
        <v>28</v>
      </c>
      <c r="M22">
        <v>41</v>
      </c>
      <c r="N22">
        <v>33</v>
      </c>
      <c r="O22">
        <v>28</v>
      </c>
      <c r="P22">
        <v>40</v>
      </c>
      <c r="Q22">
        <v>33</v>
      </c>
      <c r="R22">
        <v>28</v>
      </c>
      <c r="S22">
        <v>38</v>
      </c>
      <c r="T22">
        <v>32</v>
      </c>
      <c r="U22">
        <v>27</v>
      </c>
      <c r="V22">
        <v>37</v>
      </c>
      <c r="W22">
        <v>31</v>
      </c>
      <c r="X22">
        <v>27</v>
      </c>
      <c r="Z22">
        <v>9</v>
      </c>
      <c r="AA22">
        <v>41</v>
      </c>
      <c r="AB22">
        <v>33</v>
      </c>
      <c r="AC22">
        <v>27</v>
      </c>
      <c r="AD22">
        <v>41</v>
      </c>
      <c r="AE22">
        <v>33</v>
      </c>
      <c r="AF22">
        <v>27</v>
      </c>
      <c r="AG22">
        <v>39</v>
      </c>
      <c r="AH22">
        <v>32</v>
      </c>
      <c r="AI22">
        <v>27</v>
      </c>
      <c r="AJ22">
        <v>38</v>
      </c>
      <c r="AK22">
        <v>31</v>
      </c>
      <c r="AL22">
        <v>26</v>
      </c>
      <c r="AM22">
        <v>36</v>
      </c>
      <c r="AN22">
        <v>30</v>
      </c>
      <c r="AO22">
        <v>26</v>
      </c>
      <c r="AQ22">
        <v>9</v>
      </c>
      <c r="AR22">
        <v>42</v>
      </c>
      <c r="AS22">
        <v>34</v>
      </c>
      <c r="AT22">
        <v>28</v>
      </c>
      <c r="AU22">
        <v>41</v>
      </c>
      <c r="AV22">
        <v>33</v>
      </c>
      <c r="AW22">
        <v>28</v>
      </c>
      <c r="AX22">
        <v>40</v>
      </c>
      <c r="AY22">
        <v>33</v>
      </c>
      <c r="AZ22">
        <v>28</v>
      </c>
      <c r="BA22">
        <v>39</v>
      </c>
      <c r="BB22">
        <v>32</v>
      </c>
      <c r="BC22">
        <v>27</v>
      </c>
      <c r="BD22">
        <v>37</v>
      </c>
      <c r="BE22">
        <v>31</v>
      </c>
      <c r="BF22">
        <v>27</v>
      </c>
      <c r="BH22">
        <v>9</v>
      </c>
      <c r="BI22">
        <v>42</v>
      </c>
      <c r="BJ22">
        <v>34</v>
      </c>
      <c r="BK22">
        <v>28</v>
      </c>
      <c r="BL22">
        <v>41</v>
      </c>
      <c r="BM22">
        <v>33</v>
      </c>
      <c r="BN22">
        <v>28</v>
      </c>
      <c r="BO22">
        <v>40</v>
      </c>
      <c r="BP22">
        <v>33</v>
      </c>
      <c r="BQ22">
        <v>28</v>
      </c>
      <c r="BR22">
        <v>39</v>
      </c>
      <c r="BS22">
        <v>32</v>
      </c>
      <c r="BT22">
        <v>27</v>
      </c>
      <c r="BU22">
        <v>37</v>
      </c>
      <c r="BV22">
        <v>31</v>
      </c>
      <c r="BW22">
        <v>27</v>
      </c>
      <c r="BY22">
        <v>9</v>
      </c>
      <c r="BZ22">
        <v>42</v>
      </c>
      <c r="CA22">
        <v>33</v>
      </c>
      <c r="CB22">
        <v>28</v>
      </c>
      <c r="CC22">
        <v>41</v>
      </c>
      <c r="CD22">
        <v>33</v>
      </c>
      <c r="CE22">
        <v>28</v>
      </c>
      <c r="CF22">
        <v>40</v>
      </c>
      <c r="CG22">
        <v>33</v>
      </c>
      <c r="CH22">
        <v>27</v>
      </c>
      <c r="CI22">
        <v>38</v>
      </c>
      <c r="CJ22">
        <v>32</v>
      </c>
      <c r="CK22">
        <v>27</v>
      </c>
      <c r="CL22">
        <v>37</v>
      </c>
      <c r="CM22">
        <v>31</v>
      </c>
      <c r="CN22">
        <v>27</v>
      </c>
      <c r="CP22">
        <v>9</v>
      </c>
      <c r="CQ22">
        <v>43</v>
      </c>
      <c r="CR22">
        <v>34</v>
      </c>
      <c r="CS22">
        <v>29</v>
      </c>
      <c r="CT22">
        <v>42</v>
      </c>
      <c r="CU22">
        <v>34</v>
      </c>
      <c r="CV22">
        <v>29</v>
      </c>
      <c r="CW22">
        <v>41</v>
      </c>
      <c r="CX22">
        <v>33</v>
      </c>
      <c r="CY22">
        <v>28</v>
      </c>
      <c r="CZ22">
        <v>40</v>
      </c>
      <c r="DA22">
        <v>33</v>
      </c>
      <c r="DB22">
        <v>28</v>
      </c>
      <c r="DC22">
        <v>38</v>
      </c>
      <c r="DD22">
        <v>32</v>
      </c>
      <c r="DE22">
        <v>28</v>
      </c>
    </row>
    <row r="23" spans="1:114" x14ac:dyDescent="0.25">
      <c r="B23" t="s">
        <v>31</v>
      </c>
      <c r="C23" t="e">
        <f>VLOOKUP(C21,Model5237383123[],3,FALSE)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38</v>
      </c>
      <c r="N23">
        <v>30</v>
      </c>
      <c r="O23">
        <v>25</v>
      </c>
      <c r="P23">
        <v>37</v>
      </c>
      <c r="Q23">
        <v>30</v>
      </c>
      <c r="R23">
        <v>25</v>
      </c>
      <c r="S23">
        <v>35</v>
      </c>
      <c r="T23">
        <v>29</v>
      </c>
      <c r="U23">
        <v>25</v>
      </c>
      <c r="V23">
        <v>34</v>
      </c>
      <c r="W23">
        <v>29</v>
      </c>
      <c r="X23">
        <v>24</v>
      </c>
      <c r="Z23">
        <v>10</v>
      </c>
      <c r="AA23">
        <v>38</v>
      </c>
      <c r="AB23">
        <v>30</v>
      </c>
      <c r="AC23">
        <v>25</v>
      </c>
      <c r="AD23">
        <v>37</v>
      </c>
      <c r="AE23">
        <v>30</v>
      </c>
      <c r="AF23">
        <v>25</v>
      </c>
      <c r="AG23">
        <v>36</v>
      </c>
      <c r="AH23">
        <v>29</v>
      </c>
      <c r="AI23">
        <v>24</v>
      </c>
      <c r="AJ23">
        <v>35</v>
      </c>
      <c r="AK23">
        <v>29</v>
      </c>
      <c r="AL23">
        <v>24</v>
      </c>
      <c r="AM23">
        <v>34</v>
      </c>
      <c r="AN23">
        <v>28</v>
      </c>
      <c r="AO23">
        <v>24</v>
      </c>
      <c r="AQ23">
        <v>10</v>
      </c>
      <c r="AR23">
        <v>39</v>
      </c>
      <c r="AS23">
        <v>31</v>
      </c>
      <c r="AT23">
        <v>25</v>
      </c>
      <c r="AU23">
        <v>38</v>
      </c>
      <c r="AV23">
        <v>30</v>
      </c>
      <c r="AW23">
        <v>25</v>
      </c>
      <c r="AX23">
        <v>37</v>
      </c>
      <c r="AY23">
        <v>30</v>
      </c>
      <c r="AZ23">
        <v>25</v>
      </c>
      <c r="BA23">
        <v>36</v>
      </c>
      <c r="BB23">
        <v>29</v>
      </c>
      <c r="BC23">
        <v>25</v>
      </c>
      <c r="BD23">
        <v>35</v>
      </c>
      <c r="BE23">
        <v>29</v>
      </c>
      <c r="BF23">
        <v>25</v>
      </c>
      <c r="BH23">
        <v>10</v>
      </c>
      <c r="BI23">
        <v>39</v>
      </c>
      <c r="BJ23">
        <v>31</v>
      </c>
      <c r="BK23">
        <v>26</v>
      </c>
      <c r="BL23">
        <v>38</v>
      </c>
      <c r="BM23">
        <v>31</v>
      </c>
      <c r="BN23">
        <v>25</v>
      </c>
      <c r="BO23">
        <v>37</v>
      </c>
      <c r="BP23">
        <v>30</v>
      </c>
      <c r="BQ23">
        <v>25</v>
      </c>
      <c r="BR23">
        <v>36</v>
      </c>
      <c r="BS23">
        <v>29</v>
      </c>
      <c r="BT23">
        <v>25</v>
      </c>
      <c r="BU23">
        <v>35</v>
      </c>
      <c r="BV23">
        <v>29</v>
      </c>
      <c r="BW23">
        <v>25</v>
      </c>
      <c r="BY23">
        <v>10</v>
      </c>
      <c r="BZ23">
        <v>38</v>
      </c>
      <c r="CA23">
        <v>31</v>
      </c>
      <c r="CB23">
        <v>25</v>
      </c>
      <c r="CC23">
        <v>38</v>
      </c>
      <c r="CD23">
        <v>30</v>
      </c>
      <c r="CE23">
        <v>25</v>
      </c>
      <c r="CF23">
        <v>37</v>
      </c>
      <c r="CG23">
        <v>30</v>
      </c>
      <c r="CH23">
        <v>25</v>
      </c>
      <c r="CI23">
        <v>36</v>
      </c>
      <c r="CJ23">
        <v>29</v>
      </c>
      <c r="CK23">
        <v>25</v>
      </c>
      <c r="CL23">
        <v>35</v>
      </c>
      <c r="CM23">
        <v>29</v>
      </c>
      <c r="CN23">
        <v>24</v>
      </c>
      <c r="CP23">
        <v>10</v>
      </c>
      <c r="CQ23">
        <v>39</v>
      </c>
      <c r="CR23">
        <v>31</v>
      </c>
      <c r="CS23">
        <v>26</v>
      </c>
      <c r="CT23">
        <v>39</v>
      </c>
      <c r="CU23">
        <v>31</v>
      </c>
      <c r="CV23">
        <v>26</v>
      </c>
      <c r="CW23">
        <v>38</v>
      </c>
      <c r="CX23">
        <v>31</v>
      </c>
      <c r="CY23">
        <v>26</v>
      </c>
      <c r="CZ23">
        <v>37</v>
      </c>
      <c r="DA23">
        <v>30</v>
      </c>
      <c r="DB23">
        <v>26</v>
      </c>
      <c r="DC23">
        <v>36</v>
      </c>
      <c r="DD23">
        <v>30</v>
      </c>
      <c r="DE23">
        <v>25</v>
      </c>
    </row>
    <row r="24" spans="1:114" x14ac:dyDescent="0.25">
      <c r="B24" t="s">
        <v>3</v>
      </c>
      <c r="C24" s="11" t="e">
        <f t="array" ref="C24">INDEX(CUtable4227282122[],MATCH(1,(CUtable4227282122[RC]=C17)*(CUtable4227282122[RW]=C18)*(CUtable4227282122[Lens]=E21),0),4)</f>
        <v>#DIV/0!</v>
      </c>
      <c r="H24" s="5"/>
    </row>
    <row r="25" spans="1:114" x14ac:dyDescent="0.25">
      <c r="B25" t="s">
        <v>133</v>
      </c>
      <c r="C25" s="11">
        <f>VLOOKUP(E21,Table81217277787127[],2,FALSE)</f>
        <v>1.3</v>
      </c>
      <c r="H25" s="5"/>
      <c r="I25" t="s">
        <v>217</v>
      </c>
      <c r="J25" t="e">
        <f>J26*J30^3+J27*J30^2+J28*J30+J29</f>
        <v>#DIV/0!</v>
      </c>
      <c r="K25" t="e">
        <f t="shared" ref="K25:X25" si="0">(K26*K30^3)+(K27*K30^2)+(K28*K30)+K29</f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  <c r="BH25" t="s">
        <v>217</v>
      </c>
      <c r="BI25" t="e">
        <f>BI26*BI30^3+BI27*BI30^2+BI28*BI30+BI29</f>
        <v>#DIV/0!</v>
      </c>
      <c r="BJ25" t="e">
        <f t="shared" ref="BJ25:BW25" si="3">(BJ26*BJ30^3)+(BJ27*BJ30^2)+(BJ28*BJ30)+BJ29</f>
        <v>#DIV/0!</v>
      </c>
      <c r="BK25" t="e">
        <f t="shared" si="3"/>
        <v>#DIV/0!</v>
      </c>
      <c r="BL25" t="e">
        <f t="shared" si="3"/>
        <v>#DIV/0!</v>
      </c>
      <c r="BM25" t="e">
        <f t="shared" si="3"/>
        <v>#DIV/0!</v>
      </c>
      <c r="BN25" t="e">
        <f t="shared" si="3"/>
        <v>#DIV/0!</v>
      </c>
      <c r="BO25" t="e">
        <f t="shared" si="3"/>
        <v>#DIV/0!</v>
      </c>
      <c r="BP25" t="e">
        <f t="shared" si="3"/>
        <v>#DIV/0!</v>
      </c>
      <c r="BQ25" t="e">
        <f t="shared" si="3"/>
        <v>#DIV/0!</v>
      </c>
      <c r="BR25" t="e">
        <f t="shared" si="3"/>
        <v>#DIV/0!</v>
      </c>
      <c r="BS25" t="e">
        <f t="shared" si="3"/>
        <v>#DIV/0!</v>
      </c>
      <c r="BT25" t="e">
        <f t="shared" si="3"/>
        <v>#DIV/0!</v>
      </c>
      <c r="BU25" t="e">
        <f t="shared" si="3"/>
        <v>#DIV/0!</v>
      </c>
      <c r="BV25" t="e">
        <f t="shared" si="3"/>
        <v>#DIV/0!</v>
      </c>
      <c r="BW25" t="e">
        <f t="shared" si="3"/>
        <v>#DIV/0!</v>
      </c>
      <c r="BY25" t="s">
        <v>217</v>
      </c>
      <c r="BZ25" t="e">
        <f t="shared" ref="BZ25:CN25" si="4">(BZ26*BZ30^3)+(BZ27*BZ30^2)+(BZ28*BZ30)+BZ29</f>
        <v>#DIV/0!</v>
      </c>
      <c r="CA25" t="e">
        <f t="shared" si="4"/>
        <v>#DIV/0!</v>
      </c>
      <c r="CB25" t="e">
        <f t="shared" si="4"/>
        <v>#DIV/0!</v>
      </c>
      <c r="CC25" t="e">
        <f t="shared" si="4"/>
        <v>#DIV/0!</v>
      </c>
      <c r="CD25" t="e">
        <f t="shared" si="4"/>
        <v>#DIV/0!</v>
      </c>
      <c r="CE25" t="e">
        <f t="shared" si="4"/>
        <v>#DIV/0!</v>
      </c>
      <c r="CF25" t="e">
        <f t="shared" si="4"/>
        <v>#DIV/0!</v>
      </c>
      <c r="CG25" t="e">
        <f t="shared" si="4"/>
        <v>#DIV/0!</v>
      </c>
      <c r="CH25" t="e">
        <f t="shared" si="4"/>
        <v>#DIV/0!</v>
      </c>
      <c r="CI25" t="e">
        <f t="shared" si="4"/>
        <v>#DIV/0!</v>
      </c>
      <c r="CJ25" t="e">
        <f t="shared" si="4"/>
        <v>#DIV/0!</v>
      </c>
      <c r="CK25" t="e">
        <f t="shared" si="4"/>
        <v>#DIV/0!</v>
      </c>
      <c r="CL25" t="e">
        <f t="shared" si="4"/>
        <v>#DIV/0!</v>
      </c>
      <c r="CM25" t="e">
        <f t="shared" si="4"/>
        <v>#DIV/0!</v>
      </c>
      <c r="CN25" t="e">
        <f t="shared" si="4"/>
        <v>#DIV/0!</v>
      </c>
      <c r="CP25" t="s">
        <v>217</v>
      </c>
      <c r="CQ25" t="e">
        <f t="shared" ref="CQ25:DE25" si="5">(CQ26*CQ30^3)+(CQ27*CQ30^2)+(CQ28*CQ30)+CQ29</f>
        <v>#DIV/0!</v>
      </c>
      <c r="CR25" t="e">
        <f t="shared" si="5"/>
        <v>#DIV/0!</v>
      </c>
      <c r="CS25" t="e">
        <f t="shared" si="5"/>
        <v>#DIV/0!</v>
      </c>
      <c r="CT25" t="e">
        <f t="shared" si="5"/>
        <v>#DIV/0!</v>
      </c>
      <c r="CU25" t="e">
        <f t="shared" si="5"/>
        <v>#DIV/0!</v>
      </c>
      <c r="CV25" t="e">
        <f t="shared" si="5"/>
        <v>#DIV/0!</v>
      </c>
      <c r="CW25" t="e">
        <f t="shared" si="5"/>
        <v>#DIV/0!</v>
      </c>
      <c r="CX25" t="e">
        <f t="shared" si="5"/>
        <v>#DIV/0!</v>
      </c>
      <c r="CY25" t="e">
        <f t="shared" si="5"/>
        <v>#DIV/0!</v>
      </c>
      <c r="CZ25" t="e">
        <f t="shared" si="5"/>
        <v>#DIV/0!</v>
      </c>
      <c r="DA25" t="e">
        <f t="shared" si="5"/>
        <v>#DIV/0!</v>
      </c>
      <c r="DB25" t="e">
        <f t="shared" si="5"/>
        <v>#DIV/0!</v>
      </c>
      <c r="DC25" t="e">
        <f t="shared" si="5"/>
        <v>#DIV/0!</v>
      </c>
      <c r="DD25" t="e">
        <f t="shared" si="5"/>
        <v>#DIV/0!</v>
      </c>
      <c r="DE25" t="e">
        <f t="shared" si="5"/>
        <v>#DIV/0!</v>
      </c>
    </row>
    <row r="26" spans="1:114" x14ac:dyDescent="0.25">
      <c r="B26" t="s">
        <v>134</v>
      </c>
      <c r="C26" s="11">
        <f>VLOOKUP(E21,Table81217277787127[],3,FALSE)</f>
        <v>1.28</v>
      </c>
      <c r="H26" s="5"/>
      <c r="I26" t="s">
        <v>218</v>
      </c>
      <c r="J26">
        <f>INDEX(LINEST(TablePBL7181121[CU],TablePBL7181121[RCR]^{1,2,3}),1)</f>
        <v>-5.6138306138306289E-2</v>
      </c>
      <c r="K26">
        <f>INDEX(LINEST(TablePBL7181121[CU1],TablePBL7181121[RCR]^{1,2,3}),1)</f>
        <v>-8.2362082362082464E-2</v>
      </c>
      <c r="L26">
        <f>INDEX(LINEST(TablePBL7181121[CU2],TablePBL7181121[RCR]^{1,2,3}),1)</f>
        <v>-0.11635586635586637</v>
      </c>
      <c r="M26">
        <f>INDEX(LINEST(TablePBL7181121[CU3],TablePBL7181121[RCR]^{1,2,3}),1)</f>
        <v>-5.4390054390054864E-2</v>
      </c>
      <c r="N26">
        <f>INDEX(LINEST(TablePBL7181121[CU4],TablePBL7181121[RCR]^{1,2,3}),1)</f>
        <v>-8.8772338772339116E-2</v>
      </c>
      <c r="O26">
        <f>INDEX(LINEST(TablePBL7181121[CU5],TablePBL7181121[RCR]^{1,2,3}),1)</f>
        <v>-0.11577311577311626</v>
      </c>
      <c r="P26">
        <f>INDEX(LINEST(TablePBL7181121[CU6],TablePBL7181121[RCR]^{1,2,3}),1)</f>
        <v>-4.526029526029552E-2</v>
      </c>
      <c r="Q26">
        <f>INDEX(LINEST(TablePBL7181121[CU7],TablePBL7181121[RCR]^{1,2,3}),1)</f>
        <v>-7.2843822843823E-2</v>
      </c>
      <c r="R26">
        <f>INDEX(LINEST(TablePBL7181121[CU8],TablePBL7181121[RCR]^{1,2,3}),1)</f>
        <v>-9.518259518259542E-2</v>
      </c>
      <c r="S26">
        <f>INDEX(LINEST(TablePBL7181121[CU9],TablePBL7181121[RCR]^{1,2,3}),1)</f>
        <v>-4.7591297591297752E-2</v>
      </c>
      <c r="T26">
        <f>INDEX(LINEST(TablePBL7181121[CU10],TablePBL7181121[RCR]^{1,2,3}),1)</f>
        <v>-6.6045066045066311E-2</v>
      </c>
      <c r="U26">
        <f>INDEX(LINEST(TablePBL7181121[CU11],TablePBL7181121[RCR]^{1,2,3}),1)</f>
        <v>-8.2750582750583154E-2</v>
      </c>
      <c r="V26">
        <f>INDEX(LINEST(TablePBL7181121[CU12],TablePBL7181121[RCR]^{1,2,3}),1)</f>
        <v>-3.8850038850038973E-2</v>
      </c>
      <c r="W26">
        <f>INDEX(LINEST(TablePBL7181121[CU13],TablePBL7181121[RCR]^{1,2,3}),1)</f>
        <v>-5.0310800310800596E-2</v>
      </c>
      <c r="X26">
        <f>INDEX(LINEST(TablePBL7181121[CU14],TablePBL7181121[RCR]^{1,2,3}),1)</f>
        <v>-7.2843822843823181E-2</v>
      </c>
      <c r="Z26" t="s">
        <v>218</v>
      </c>
      <c r="AA26">
        <f>INDEX(LINEST(TablePBLFR7888128[CU],TablePBLFR7888128[RCR]^{1,2,3}),1)</f>
        <v>-5.0893550893551472E-2</v>
      </c>
      <c r="AB26">
        <f>INDEX(LINEST(TablePBLFR7888128[CU1],TablePBLFR7888128[RCR]^{1,2,3}),1)</f>
        <v>-8.2750582750582932E-2</v>
      </c>
      <c r="AC26">
        <f>INDEX(LINEST(TablePBLFR7888128[CU2],TablePBLFR7888128[RCR]^{1,2,3}),1)</f>
        <v>-0.1165501165501171</v>
      </c>
      <c r="AD26">
        <f>INDEX(LINEST(TablePBLFR7888128[CU3],TablePBLFR7888128[RCR]^{1,2,3}),1)</f>
        <v>-5.1476301476301611E-2</v>
      </c>
      <c r="AE26">
        <f>INDEX(LINEST(TablePBLFR7888128[CU4],TablePBLFR7888128[RCR]^{1,2,3}),1)</f>
        <v>-8.3333333333333662E-2</v>
      </c>
      <c r="AF26">
        <f>INDEX(LINEST(TablePBLFR7888128[CU5],TablePBLFR7888128[RCR]^{1,2,3}),1)</f>
        <v>-0.10586635586635636</v>
      </c>
      <c r="AG26">
        <f>INDEX(LINEST(TablePBLFR7888128[CU6],TablePBLFR7888128[RCR]^{1,2,3}),1)</f>
        <v>-4.156954156954188E-2</v>
      </c>
      <c r="AH26">
        <f>INDEX(LINEST(TablePBLFR7888128[CU7],TablePBLFR7888128[RCR]^{1,2,3}),1)</f>
        <v>-7.4592074592074717E-2</v>
      </c>
      <c r="AI26">
        <f>INDEX(LINEST(TablePBLFR7888128[CU8],TablePBLFR7888128[RCR]^{1,2,3}),1)</f>
        <v>-0.10139860139860203</v>
      </c>
      <c r="AJ26">
        <f>INDEX(LINEST(TablePBLFR7888128[CU9],TablePBLFR7888128[RCR]^{1,2,3}),1)</f>
        <v>-4.3317793317793611E-2</v>
      </c>
      <c r="AK26">
        <f>INDEX(LINEST(TablePBLFR7888128[CU10],TablePBLFR7888128[RCR]^{1,2,3}),1)</f>
        <v>-5.6138306138306428E-2</v>
      </c>
      <c r="AL26">
        <f>INDEX(LINEST(TablePBLFR7888128[CU11],TablePBLFR7888128[RCR]^{1,2,3}),1)</f>
        <v>-7.7505827505828045E-2</v>
      </c>
      <c r="AM26">
        <f>INDEX(LINEST(TablePBLFR7888128[CU12],TablePBLFR7888128[RCR]^{1,2,3}),1)</f>
        <v>-3.8073038073038218E-2</v>
      </c>
      <c r="AN26">
        <f>INDEX(LINEST(TablePBLFR7888128[CU13],TablePBLFR7888128[RCR]^{1,2,3}),1)</f>
        <v>-5.2641802641802869E-2</v>
      </c>
      <c r="AO26">
        <f>INDEX(LINEST(TablePBLFR7888128[CU14],TablePBLFR7888128[RCR]^{1,2,3}),1)</f>
        <v>-6.7599067599067711E-2</v>
      </c>
      <c r="AQ26" t="s">
        <v>218</v>
      </c>
      <c r="AR26">
        <f>INDEX(LINEST(Table1x4308090130[CU],Table1x4308090130[RCR]^{1,2,3}),1)</f>
        <v>-4.9339549339549642E-2</v>
      </c>
      <c r="AS26">
        <f>INDEX(LINEST(Table1x4308090130[CU1],Table1x4308090130[RCR]^{1,2,3}),1)</f>
        <v>-8.2750582750583127E-2</v>
      </c>
      <c r="AT26">
        <f>INDEX(LINEST(Table1x4308090130[CU2],Table1x4308090130[RCR]^{1,2,3}),1)</f>
        <v>-0.11810411810411874</v>
      </c>
      <c r="AU26">
        <f>INDEX(LINEST(Table1x4308090130[CU3],Table1x4308090130[RCR]^{1,2,3}),1)</f>
        <v>-4.4483294483294571E-2</v>
      </c>
      <c r="AV26">
        <f>INDEX(LINEST(Table1x4308090130[CU4],Table1x4308090130[RCR]^{1,2,3}),1)</f>
        <v>-8.2167832167832411E-2</v>
      </c>
      <c r="AW26">
        <f>INDEX(LINEST(Table1x4308090130[CU5],Table1x4308090130[RCR]^{1,2,3}),1)</f>
        <v>-0.10586635586635641</v>
      </c>
      <c r="AX26">
        <f>INDEX(LINEST(Table1x4308090130[CU6],Table1x4308090130[RCR]^{1,2,3}),1)</f>
        <v>-3.8850038850039105E-2</v>
      </c>
      <c r="AY26">
        <f>INDEX(LINEST(Table1x4308090130[CU7],Table1x4308090130[RCR]^{1,2,3}),1)</f>
        <v>-7.3426573426573841E-2</v>
      </c>
      <c r="AZ26">
        <f>INDEX(LINEST(Table1x4308090130[CU8],Table1x4308090130[RCR]^{1,2,3}),1)</f>
        <v>-9.1491841491841724E-2</v>
      </c>
      <c r="BA26">
        <f>INDEX(LINEST(Table1x4308090130[CU9],Table1x4308090130[RCR]^{1,2,3}),1)</f>
        <v>-4.3512043512043928E-2</v>
      </c>
      <c r="BB26">
        <f>INDEX(LINEST(Table1x4308090130[CU10],Table1x4308090130[RCR]^{1,2,3}),1)</f>
        <v>-5.9634809634809903E-2</v>
      </c>
      <c r="BC26">
        <f>INDEX(LINEST(Table1x4308090130[CU11],Table1x4308090130[RCR]^{1,2,3}),1)</f>
        <v>-7.6340326340326545E-2</v>
      </c>
      <c r="BD26">
        <f>INDEX(LINEST(Table1x4308090130[CU12],Table1x4308090130[RCR]^{1,2,3}),1)</f>
        <v>-3.8267288267288591E-2</v>
      </c>
      <c r="BE26">
        <f>INDEX(LINEST(Table1x4308090130[CU13],Table1x4308090130[RCR]^{1,2,3}),1)</f>
        <v>-4.8562548562548949E-2</v>
      </c>
      <c r="BF26">
        <f>INDEX(LINEST(Table1x4308090130[CU14],Table1x4308090130[RCR]^{1,2,3}),1)</f>
        <v>-6.0800310800311064E-2</v>
      </c>
      <c r="BH26" t="s">
        <v>218</v>
      </c>
      <c r="BI26">
        <f>INDEX(LINEST(TablePBL7181121131[CU],TablePBL7181121131[RCR]^{1,2,3}),1)</f>
        <v>-4.3512043512043665E-2</v>
      </c>
      <c r="BJ26">
        <f>INDEX(LINEST(TablePBL7181121131[CU1],TablePBL7181121131[RCR]^{1,2,3}),1)</f>
        <v>-7.2455322455322935E-2</v>
      </c>
      <c r="BK26">
        <f>INDEX(LINEST(TablePBL7181121131[CU2],TablePBL7181121131[RCR]^{1,2,3}),1)</f>
        <v>-0.10644910644910698</v>
      </c>
      <c r="BL26">
        <f>INDEX(LINEST(TablePBL7181121131[CU3],TablePBL7181121131[RCR]^{1,2,3}),1)</f>
        <v>-4.4483294483294571E-2</v>
      </c>
      <c r="BM26">
        <f>INDEX(LINEST(TablePBL7181121131[CU4],TablePBL7181121131[RCR]^{1,2,3}),1)</f>
        <v>-7.7505827505827574E-2</v>
      </c>
      <c r="BN26">
        <f>INDEX(LINEST(TablePBL7181121131[CU5],TablePBL7181121131[RCR]^{1,2,3}),1)</f>
        <v>-0.10586635586635632</v>
      </c>
      <c r="BO26">
        <f>INDEX(LINEST(TablePBL7181121131[CU6],TablePBL7181121131[RCR]^{1,2,3}),1)</f>
        <v>-4.0015540015540245E-2</v>
      </c>
      <c r="BP26">
        <f>INDEX(LINEST(TablePBL7181121131[CU7],TablePBL7181121131[RCR]^{1,2,3}),1)</f>
        <v>-6.8764568764569267E-2</v>
      </c>
      <c r="BQ26">
        <f>INDEX(LINEST(TablePBL7181121131[CU8],TablePBL7181121131[RCR]^{1,2,3}),1)</f>
        <v>-9.2851592851593279E-2</v>
      </c>
      <c r="BR26">
        <f>INDEX(LINEST(TablePBL7181121131[CU9],TablePBL7181121131[RCR]^{1,2,3}),1)</f>
        <v>-3.7490287490287703E-2</v>
      </c>
      <c r="BS26">
        <f>INDEX(LINEST(TablePBL7181121131[CU10],TablePBL7181121131[RCR]^{1,2,3}),1)</f>
        <v>-5.6138306138306594E-2</v>
      </c>
      <c r="BT26">
        <f>INDEX(LINEST(TablePBL7181121131[CU11],TablePBL7181121131[RCR]^{1,2,3}),1)</f>
        <v>-7.167832167832193E-2</v>
      </c>
      <c r="BU26">
        <f>INDEX(LINEST(TablePBL7181121131[CU12],TablePBL7181121131[RCR]^{1,2,3}),1)</f>
        <v>-3.2245532245532345E-2</v>
      </c>
      <c r="BV26">
        <f>INDEX(LINEST(TablePBL7181121131[CU13],TablePBL7181121131[RCR]^{1,2,3}),1)</f>
        <v>-4.2346542346542781E-2</v>
      </c>
      <c r="BW26">
        <f>INDEX(LINEST(TablePBL7181121131[CU14],TablePBL7181121131[RCR]^{1,2,3}),1)</f>
        <v>-5.7303807303807582E-2</v>
      </c>
      <c r="BY26" t="s">
        <v>218</v>
      </c>
      <c r="BZ26">
        <f>INDEX(LINEST(TablePBLFR7888128132[CU],TablePBLFR7888128132[RCR]^{1,2,3}),1)</f>
        <v>-4.8174048174048571E-2</v>
      </c>
      <c r="CA26">
        <f>INDEX(LINEST(TablePBLFR7888128132[CU1],TablePBLFR7888128132[RCR]^{1,2,3}),1)</f>
        <v>-7.0124320124320558E-2</v>
      </c>
      <c r="CB26">
        <f>INDEX(LINEST(TablePBLFR7888128132[CU2],TablePBLFR7888128132[RCR]^{1,2,3}),1)</f>
        <v>-0.11111111111111194</v>
      </c>
      <c r="CC26">
        <f>INDEX(LINEST(TablePBLFR7888128132[CU3],TablePBLFR7888128132[RCR]^{1,2,3}),1)</f>
        <v>-4.1763791763792128E-2</v>
      </c>
      <c r="CD26">
        <f>INDEX(LINEST(TablePBLFR7888128132[CU4],TablePBLFR7888128132[RCR]^{1,2,3}),1)</f>
        <v>-7.3426573426574063E-2</v>
      </c>
      <c r="CE26">
        <f>INDEX(LINEST(TablePBLFR7888128132[CU5],TablePBLFR7888128132[RCR]^{1,2,3}),1)</f>
        <v>-0.10198135198135246</v>
      </c>
      <c r="CF26">
        <f>INDEX(LINEST(TablePBLFR7888128132[CU6],TablePBLFR7888128132[RCR]^{1,2,3}),1)</f>
        <v>-3.7684537684537847E-2</v>
      </c>
      <c r="CG26">
        <f>INDEX(LINEST(TablePBLFR7888128132[CU7],TablePBLFR7888128132[RCR]^{1,2,3}),1)</f>
        <v>-6.9153069153069777E-2</v>
      </c>
      <c r="CH26">
        <f>INDEX(LINEST(TablePBLFR7888128132[CU8],TablePBLFR7888128132[RCR]^{1,2,3}),1)</f>
        <v>-8.7606837606838184E-2</v>
      </c>
      <c r="CI26">
        <f>INDEX(LINEST(TablePBLFR7888128132[CU9],TablePBLFR7888128132[RCR]^{1,2,3}),1)</f>
        <v>-3.8073038073038482E-2</v>
      </c>
      <c r="CJ26">
        <f>INDEX(LINEST(TablePBLFR7888128132[CU10],TablePBLFR7888128132[RCR]^{1,2,3}),1)</f>
        <v>-5.846930846930852E-2</v>
      </c>
      <c r="CK26">
        <f>INDEX(LINEST(TablePBLFR7888128132[CU11],TablePBLFR7888128132[RCR]^{1,2,3}),1)</f>
        <v>-7.0707070707071037E-2</v>
      </c>
      <c r="CL26">
        <f>INDEX(LINEST(TablePBLFR7888128132[CU12],TablePBLFR7888128132[RCR]^{1,2,3}),1)</f>
        <v>-3.1274281274281633E-2</v>
      </c>
      <c r="CM26">
        <f>INDEX(LINEST(TablePBLFR7888128132[CU13],TablePBLFR7888128132[RCR]^{1,2,3}),1)</f>
        <v>-4.4289044289044455E-2</v>
      </c>
      <c r="CN26">
        <f>INDEX(LINEST(TablePBLFR7888128132[CU14],TablePBLFR7888128132[RCR]^{1,2,3}),1)</f>
        <v>-6.6627816627817138E-2</v>
      </c>
      <c r="CP26" t="s">
        <v>218</v>
      </c>
      <c r="CQ26">
        <f>INDEX(LINEST(Table1x4308090130133[CU],Table1x4308090130133[RCR]^{1,2,3}),1)</f>
        <v>-4.3900543900543994E-2</v>
      </c>
      <c r="CR26">
        <f>INDEX(LINEST(Table1x4308090130133[CU1],Table1x4308090130133[RCR]^{1,2,3}),1)</f>
        <v>-7.1678321678322027E-2</v>
      </c>
      <c r="CS26">
        <f>INDEX(LINEST(Table1x4308090130133[CU2],Table1x4308090130133[RCR]^{1,2,3}),1)</f>
        <v>-9.9650349650349981E-2</v>
      </c>
      <c r="CT26">
        <f>INDEX(LINEST(Table1x4308090130133[CU3],Table1x4308090130133[RCR]^{1,2,3}),1)</f>
        <v>-3.6130536130536538E-2</v>
      </c>
      <c r="CU26">
        <f>INDEX(LINEST(Table1x4308090130133[CU4],Table1x4308090130133[RCR]^{1,2,3}),1)</f>
        <v>-6.7987567987568651E-2</v>
      </c>
      <c r="CV26">
        <f>INDEX(LINEST(Table1x4308090130133[CU5],Table1x4308090130133[RCR]^{1,2,3}),1)</f>
        <v>-9.5959595959596758E-2</v>
      </c>
      <c r="CW26">
        <f>INDEX(LINEST(Table1x4308090130133[CU6],Table1x4308090130133[RCR]^{1,2,3}),1)</f>
        <v>-2.894327894327909E-2</v>
      </c>
      <c r="CX26">
        <f>INDEX(LINEST(Table1x4308090130133[CU7],Table1x4308090130133[RCR]^{1,2,3}),1)</f>
        <v>-5.5361305361305652E-2</v>
      </c>
      <c r="CY26">
        <f>INDEX(LINEST(Table1x4308090130133[CU8],Table1x4308090130133[RCR]^{1,2,3}),1)</f>
        <v>-7.7700077700077919E-2</v>
      </c>
      <c r="CZ26">
        <f>INDEX(LINEST(Table1x4308090130133[CU9],Table1x4308090130133[RCR]^{1,2,3}),1)</f>
        <v>-3.3605283605283837E-2</v>
      </c>
      <c r="DA26">
        <f>INDEX(LINEST(Table1x4308090130133[CU10],Table1x4308090130133[RCR]^{1,2,3}),1)</f>
        <v>-5.1282051282051599E-2</v>
      </c>
      <c r="DB26">
        <f>INDEX(LINEST(Table1x4308090130133[CU11],Table1x4308090130133[RCR]^{1,2,3}),1)</f>
        <v>-6.7987567987568276E-2</v>
      </c>
      <c r="DC26">
        <f>INDEX(LINEST(Table1x4308090130133[CU12],Table1x4308090130133[RCR]^{1,2,3}),1)</f>
        <v>-2.8360528360528339E-2</v>
      </c>
      <c r="DD26">
        <f>INDEX(LINEST(Table1x4308090130133[CU13],Table1x4308090130133[RCR]^{1,2,3}),1)</f>
        <v>-3.8655788655789163E-2</v>
      </c>
      <c r="DE26">
        <f>INDEX(LINEST(Table1x4308090130133[CU14],Table1x4308090130133[RCR]^{1,2,3}),1)</f>
        <v>-5.846930846930852E-2</v>
      </c>
    </row>
    <row r="27" spans="1:114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INDEX(LINEST(TablePBL7181121[CU],TablePBL7181121[RCR]^{1,2,3}),1,2)</f>
        <v>1.5413752913752925</v>
      </c>
      <c r="K27">
        <f>INDEX(LINEST(TablePBL7181121[CU1],TablePBL7181121[RCR]^{1,2,3}),1,2)</f>
        <v>2.1317016317016324</v>
      </c>
      <c r="L27">
        <f>INDEX(LINEST(TablePBL7181121[CU2],TablePBL7181121[RCR]^{1,2,3}),1,2)</f>
        <v>2.8071095571095559</v>
      </c>
      <c r="M27">
        <f>INDEX(LINEST(TablePBL7181121[CU3],TablePBL7181121[RCR]^{1,2,3}),1,2)</f>
        <v>1.4813519813519884</v>
      </c>
      <c r="N27">
        <f>INDEX(LINEST(TablePBL7181121[CU4],TablePBL7181121[RCR]^{1,2,3}),1,2)</f>
        <v>2.1824009324009364</v>
      </c>
      <c r="O27">
        <f>INDEX(LINEST(TablePBL7181121[CU5],TablePBL7181121[RCR]^{1,2,3}),1,2)</f>
        <v>2.7435897435897498</v>
      </c>
      <c r="P27">
        <f>INDEX(LINEST(TablePBL7181121[CU6],TablePBL7181121[RCR]^{1,2,3}),1,2)</f>
        <v>1.2861305361305393</v>
      </c>
      <c r="Q27">
        <f>INDEX(LINEST(TablePBL7181121[CU7],TablePBL7181121[RCR]^{1,2,3}),1,2)</f>
        <v>1.8688811188811196</v>
      </c>
      <c r="R27">
        <f>INDEX(LINEST(TablePBL7181121[CU8],TablePBL7181121[RCR]^{1,2,3}),1,2)</f>
        <v>2.3240093240093262</v>
      </c>
      <c r="S27">
        <f>INDEX(LINEST(TablePBL7181121[CU9],TablePBL7181121[RCR]^{1,2,3}),1,2)</f>
        <v>1.2919580419580441</v>
      </c>
      <c r="T27">
        <f>INDEX(LINEST(TablePBL7181121[CU10],TablePBL7181121[RCR]^{1,2,3}),1,2)</f>
        <v>1.6969696969697006</v>
      </c>
      <c r="U27">
        <f>INDEX(LINEST(TablePBL7181121[CU11],TablePBL7181121[RCR]^{1,2,3}),1,2)</f>
        <v>2.0652680652680711</v>
      </c>
      <c r="V27">
        <f>INDEX(LINEST(TablePBL7181121[CU12],TablePBL7181121[RCR]^{1,2,3}),1,2)</f>
        <v>1.1235431235431248</v>
      </c>
      <c r="W27">
        <f>INDEX(LINEST(TablePBL7181121[CU13],TablePBL7181121[RCR]^{1,2,3}),1,2)</f>
        <v>1.4038461538461573</v>
      </c>
      <c r="X27">
        <f>INDEX(LINEST(TablePBL7181121[CU14],TablePBL7181121[RCR]^{1,2,3}),1,2)</f>
        <v>1.8397435897435936</v>
      </c>
      <c r="Z27" t="s">
        <v>219</v>
      </c>
      <c r="AA27">
        <f>INDEX(LINEST(TablePBLFR7888128[CU],TablePBLFR7888128[RCR]^{1,2,3}),1,2)</f>
        <v>1.4533799533799614</v>
      </c>
      <c r="AB27">
        <f>INDEX(LINEST(TablePBLFR7888128[CU1],TablePBLFR7888128[RCR]^{1,2,3}),1,2)</f>
        <v>2.1351981351981362</v>
      </c>
      <c r="AC27">
        <f>INDEX(LINEST(TablePBLFR7888128[CU2],TablePBLFR7888128[RCR]^{1,2,3}),1,2)</f>
        <v>2.8135198135198216</v>
      </c>
      <c r="AD27">
        <f>INDEX(LINEST(TablePBLFR7888128[CU3],TablePBLFR7888128[RCR]^{1,2,3}),1,2)</f>
        <v>1.4609557109557116</v>
      </c>
      <c r="AE27">
        <f>INDEX(LINEST(TablePBLFR7888128[CU4],TablePBLFR7888128[RCR]^{1,2,3}),1,2)</f>
        <v>2.1229603729603772</v>
      </c>
      <c r="AF27">
        <f>INDEX(LINEST(TablePBLFR7888128[CU5],TablePBLFR7888128[RCR]^{1,2,3}),1,2)</f>
        <v>2.6078088578088647</v>
      </c>
      <c r="AG27">
        <f>INDEX(LINEST(TablePBLFR7888128[CU6],TablePBLFR7888128[RCR]^{1,2,3}),1,2)</f>
        <v>1.2587412587412634</v>
      </c>
      <c r="AH27">
        <f>INDEX(LINEST(TablePBLFR7888128[CU7],TablePBLFR7888128[RCR]^{1,2,3}),1,2)</f>
        <v>1.9079254079254093</v>
      </c>
      <c r="AI27">
        <f>INDEX(LINEST(TablePBLFR7888128[CU8],TablePBLFR7888128[RCR]^{1,2,3}),1,2)</f>
        <v>2.4580419580419672</v>
      </c>
      <c r="AJ27">
        <f>INDEX(LINEST(TablePBLFR7888128[CU9],TablePBLFR7888128[RCR]^{1,2,3}),1,2)</f>
        <v>1.238344988344992</v>
      </c>
      <c r="AK27">
        <f>INDEX(LINEST(TablePBLFR7888128[CU10],TablePBLFR7888128[RCR]^{1,2,3}),1,2)</f>
        <v>1.5705128205128243</v>
      </c>
      <c r="AL27">
        <f>INDEX(LINEST(TablePBLFR7888128[CU11],TablePBLFR7888128[RCR]^{1,2,3}),1,2)</f>
        <v>1.9982517482517557</v>
      </c>
      <c r="AM27">
        <f>INDEX(LINEST(TablePBLFR7888128[CU12],TablePBLFR7888128[RCR]^{1,2,3}),1,2)</f>
        <v>1.1305361305361317</v>
      </c>
      <c r="AN27">
        <f>INDEX(LINEST(TablePBLFR7888128[CU13],TablePBLFR7888128[RCR]^{1,2,3}),1,2)</f>
        <v>1.4621212121212153</v>
      </c>
      <c r="AO27">
        <f>INDEX(LINEST(TablePBLFR7888128[CU14],TablePBLFR7888128[RCR]^{1,2,3}),1,2)</f>
        <v>1.7867132867132876</v>
      </c>
      <c r="AQ27" t="s">
        <v>219</v>
      </c>
      <c r="AR27">
        <f>INDEX(LINEST(Table1x4308090130[CU],Table1x4308090130[RCR]^{1,2,3}),1,2)</f>
        <v>1.4452214452214494</v>
      </c>
      <c r="AS27">
        <f>INDEX(LINEST(Table1x4308090130[CU1],Table1x4308090130[RCR]^{1,2,3}),1,2)</f>
        <v>2.1608391608391657</v>
      </c>
      <c r="AT27">
        <f>INDEX(LINEST(Table1x4308090130[CU2],Table1x4308090130[RCR]^{1,2,3}),1,2)</f>
        <v>2.82051282051283</v>
      </c>
      <c r="AU27">
        <f>INDEX(LINEST(Table1x4308090130[CU3],Table1x4308090130[RCR]^{1,2,3}),1,2)</f>
        <v>1.3315850815850818</v>
      </c>
      <c r="AV27">
        <f>INDEX(LINEST(Table1x4308090130[CU4],Table1x4308090130[RCR]^{1,2,3}),1,2)</f>
        <v>2.0635198135198158</v>
      </c>
      <c r="AW27">
        <f>INDEX(LINEST(Table1x4308090130[CU5],Table1x4308090130[RCR]^{1,2,3}),1,2)</f>
        <v>2.5938228438228514</v>
      </c>
      <c r="AX27">
        <f>INDEX(LINEST(Table1x4308090130[CU6],Table1x4308090130[RCR]^{1,2,3}),1,2)</f>
        <v>1.2074592074592108</v>
      </c>
      <c r="AY27">
        <f>INDEX(LINEST(Table1x4308090130[CU7],Table1x4308090130[RCR]^{1,2,3}),1,2)</f>
        <v>1.8974358974359027</v>
      </c>
      <c r="AZ27">
        <f>INDEX(LINEST(Table1x4308090130[CU8],Table1x4308090130[RCR]^{1,2,3}),1,2)</f>
        <v>2.3082750582750613</v>
      </c>
      <c r="BA27">
        <f>INDEX(LINEST(Table1x4308090130[CU9],Table1x4308090130[RCR]^{1,2,3}),1,2)</f>
        <v>1.2470862470862536</v>
      </c>
      <c r="BB27">
        <f>INDEX(LINEST(Table1x4308090130[CU10],Table1x4308090130[RCR]^{1,2,3}),1,2)</f>
        <v>1.618298368298372</v>
      </c>
      <c r="BC27">
        <f>INDEX(LINEST(Table1x4308090130[CU11],Table1x4308090130[RCR]^{1,2,3}),1,2)</f>
        <v>1.9865967365967383</v>
      </c>
      <c r="BD27">
        <f>INDEX(LINEST(Table1x4308090130[CU12],Table1x4308090130[RCR]^{1,2,3}),1,2)</f>
        <v>1.1486013986014032</v>
      </c>
      <c r="BE27">
        <f>INDEX(LINEST(Table1x4308090130[CU13],Table1x4308090130[RCR]^{1,2,3}),1,2)</f>
        <v>1.4055944055944105</v>
      </c>
      <c r="BF27">
        <f>INDEX(LINEST(Table1x4308090130[CU14],Table1x4308090130[RCR]^{1,2,3}),1,2)</f>
        <v>1.6905594405594437</v>
      </c>
      <c r="BH27" t="s">
        <v>219</v>
      </c>
      <c r="BI27">
        <f>INDEX(LINEST(TablePBL7181121131[CU],TablePBL7181121131[RCR]^{1,2,3}),1,2)</f>
        <v>1.3286713286713301</v>
      </c>
      <c r="BJ27">
        <f>INDEX(LINEST(TablePBL7181121131[CU1],TablePBL7181121131[RCR]^{1,2,3}),1,2)</f>
        <v>1.9702797202797266</v>
      </c>
      <c r="BK27">
        <f>INDEX(LINEST(TablePBL7181121131[CU2],TablePBL7181121131[RCR]^{1,2,3}),1,2)</f>
        <v>2.6456876456876537</v>
      </c>
      <c r="BL27">
        <f>INDEX(LINEST(TablePBL7181121131[CU3],TablePBL7181121131[RCR]^{1,2,3}),1,2)</f>
        <v>1.3315850815850818</v>
      </c>
      <c r="BM27">
        <f>INDEX(LINEST(TablePBL7181121131[CU4],TablePBL7181121131[RCR]^{1,2,3}),1,2)</f>
        <v>2.0040792540792536</v>
      </c>
      <c r="BN27">
        <f>INDEX(LINEST(TablePBL7181121131[CU5],TablePBL7181121131[RCR]^{1,2,3}),1,2)</f>
        <v>2.5728438228438293</v>
      </c>
      <c r="BO27">
        <f>INDEX(LINEST(TablePBL7181121131[CU6],TablePBL7181121131[RCR]^{1,2,3}),1,2)</f>
        <v>1.2191142191142228</v>
      </c>
      <c r="BP27">
        <f>INDEX(LINEST(TablePBL7181121131[CU7],TablePBL7181121131[RCR]^{1,2,3}),1,2)</f>
        <v>1.8030303030303101</v>
      </c>
      <c r="BQ27">
        <f>INDEX(LINEST(TablePBL7181121131[CU8],TablePBL7181121131[RCR]^{1,2,3}),1,2)</f>
        <v>2.2762237762237811</v>
      </c>
      <c r="BR27">
        <f>INDEX(LINEST(TablePBL7181121131[CU9],TablePBL7181121131[RCR]^{1,2,3}),1,2)</f>
        <v>1.1334498834498861</v>
      </c>
      <c r="BS27">
        <f>INDEX(LINEST(TablePBL7181121131[CU10],TablePBL7181121131[RCR]^{1,2,3}),1,2)</f>
        <v>1.5355477855477919</v>
      </c>
      <c r="BT27">
        <f>INDEX(LINEST(TablePBL7181121131[CU11],TablePBL7181121131[RCR]^{1,2,3}),1,2)</f>
        <v>1.8933566433566464</v>
      </c>
      <c r="BU27">
        <f>INDEX(LINEST(TablePBL7181121131[CU12],TablePBL7181121131[RCR]^{1,2,3}),1,2)</f>
        <v>1.0256410256410264</v>
      </c>
      <c r="BV27">
        <f>INDEX(LINEST(TablePBL7181121131[CU13],TablePBL7181121131[RCR]^{1,2,3}),1,2)</f>
        <v>1.2832167832167891</v>
      </c>
      <c r="BW27">
        <f>INDEX(LINEST(TablePBL7181121131[CU14],TablePBL7181121131[RCR]^{1,2,3}),1,2)</f>
        <v>1.6078088578088612</v>
      </c>
      <c r="BY27" t="s">
        <v>219</v>
      </c>
      <c r="BZ27">
        <f>INDEX(LINEST(TablePBLFR7888128132[CU],TablePBLFR7888128132[RCR]^{1,2,3}),1,2)</f>
        <v>1.3881118881118932</v>
      </c>
      <c r="CA27">
        <f>INDEX(LINEST(TablePBLFR7888128132[CU1],TablePBLFR7888128132[RCR]^{1,2,3}),1,2)</f>
        <v>1.9469696969697032</v>
      </c>
      <c r="CB27">
        <f>INDEX(LINEST(TablePBLFR7888128132[CU2],TablePBLFR7888128132[RCR]^{1,2,3}),1,2)</f>
        <v>2.7051282051282168</v>
      </c>
      <c r="CC27">
        <f>INDEX(LINEST(TablePBLFR7888128132[CU3],TablePBLFR7888128132[RCR]^{1,2,3}),1,2)</f>
        <v>1.2803030303030358</v>
      </c>
      <c r="CD27">
        <f>INDEX(LINEST(TablePBLFR7888128132[CU4],TablePBLFR7888128132[RCR]^{1,2,3}),1,2)</f>
        <v>1.9242424242424336</v>
      </c>
      <c r="CE27">
        <f>INDEX(LINEST(TablePBLFR7888128132[CU5],TablePBLFR7888128132[RCR]^{1,2,3}),1,2)</f>
        <v>2.532051282051289</v>
      </c>
      <c r="CF27">
        <f>INDEX(LINEST(TablePBLFR7888128132[CU6],TablePBLFR7888128132[RCR]^{1,2,3}),1,2)</f>
        <v>1.196969696969699</v>
      </c>
      <c r="CG27">
        <f>INDEX(LINEST(TablePBLFR7888128132[CU7],TablePBLFR7888128132[RCR]^{1,2,3}),1,2)</f>
        <v>1.8321678321678414</v>
      </c>
      <c r="CH27">
        <f>INDEX(LINEST(TablePBLFR7888128132[CU8],TablePBLFR7888128132[RCR]^{1,2,3}),1,2)</f>
        <v>2.2208624708624787</v>
      </c>
      <c r="CI27">
        <f>INDEX(LINEST(TablePBLFR7888128132[CU9],TablePBLFR7888128132[RCR]^{1,2,3}),1,2)</f>
        <v>1.1573426573426631</v>
      </c>
      <c r="CJ27">
        <f>INDEX(LINEST(TablePBLFR7888128132[CU10],TablePBLFR7888128132[RCR]^{1,2,3}),1,2)</f>
        <v>1.6078088578088581</v>
      </c>
      <c r="CK27">
        <f>INDEX(LINEST(TablePBLFR7888128132[CU11],TablePBLFR7888128132[RCR]^{1,2,3}),1,2)</f>
        <v>1.9020979020979072</v>
      </c>
      <c r="CL27">
        <f>INDEX(LINEST(TablePBLFR7888128132[CU12],TablePBLFR7888128132[RCR]^{1,2,3}),1,2)</f>
        <v>1.0343822843822896</v>
      </c>
      <c r="CM27">
        <f>INDEX(LINEST(TablePBLFR7888128132[CU13],TablePBLFR7888128132[RCR]^{1,2,3}),1,2)</f>
        <v>1.3403263403263426</v>
      </c>
      <c r="CN27">
        <f>INDEX(LINEST(TablePBLFR7888128132[CU14],TablePBLFR7888128132[RCR]^{1,2,3}),1,2)</f>
        <v>1.760489510489518</v>
      </c>
      <c r="CP27" t="s">
        <v>219</v>
      </c>
      <c r="CQ27">
        <f>INDEX(LINEST(Table1x4308090130133[CU],Table1x4308090130133[RCR]^{1,2,3}),1,2)</f>
        <v>1.3251748251748257</v>
      </c>
      <c r="CR27">
        <f>INDEX(LINEST(Table1x4308090130133[CU1],Table1x4308090130133[RCR]^{1,2,3}),1,2)</f>
        <v>1.9516317016317066</v>
      </c>
      <c r="CS27">
        <f>INDEX(LINEST(Table1x4308090130133[CU2],Table1x4308090130133[RCR]^{1,2,3}),1,2)</f>
        <v>2.514568764568768</v>
      </c>
      <c r="CT27">
        <f>INDEX(LINEST(Table1x4308090130133[CU3],Table1x4308090130133[RCR]^{1,2,3}),1,2)</f>
        <v>1.1958041958042018</v>
      </c>
      <c r="CU27">
        <f>INDEX(LINEST(Table1x4308090130133[CU4],Table1x4308090130133[RCR]^{1,2,3}),1,2)</f>
        <v>1.850815850815861</v>
      </c>
      <c r="CV27">
        <f>INDEX(LINEST(Table1x4308090130133[CU5],Table1x4308090130133[RCR]^{1,2,3}),1,2)</f>
        <v>2.4230769230769345</v>
      </c>
      <c r="CW27">
        <f>INDEX(LINEST(Table1x4308090130133[CU6],Table1x4308090130133[RCR]^{1,2,3}),1,2)</f>
        <v>1.0576923076923093</v>
      </c>
      <c r="CX27">
        <f>INDEX(LINEST(Table1x4308090130133[CU7],Table1x4308090130133[RCR]^{1,2,3}),1,2)</f>
        <v>1.5949883449883491</v>
      </c>
      <c r="CY27">
        <f>INDEX(LINEST(Table1x4308090130133[CU8],Table1x4308090130133[RCR]^{1,2,3}),1,2)</f>
        <v>2.0710955710955732</v>
      </c>
      <c r="CZ27">
        <f>INDEX(LINEST(Table1x4308090130133[CU9],Table1x4308090130133[RCR]^{1,2,3}),1,2)</f>
        <v>1.0763403263403297</v>
      </c>
      <c r="DA27">
        <f>INDEX(LINEST(Table1x4308090130133[CU10],Table1x4308090130133[RCR]^{1,2,3}),1,2)</f>
        <v>1.4883449883449922</v>
      </c>
      <c r="DB27">
        <f>INDEX(LINEST(Table1x4308090130133[CU11],Table1x4308090130133[RCR]^{1,2,3}),1,2)</f>
        <v>1.8566433566433602</v>
      </c>
      <c r="DC27">
        <f>INDEX(LINEST(Table1x4308090130133[CU12],Table1x4308090130133[RCR]^{1,2,3}),1,2)</f>
        <v>0.96620046620046507</v>
      </c>
      <c r="DD27">
        <f>INDEX(LINEST(Table1x4308090130133[CU13],Table1x4308090130133[RCR]^{1,2,3}),1,2)</f>
        <v>1.2325174825174898</v>
      </c>
      <c r="DE27">
        <f>INDEX(LINEST(Table1x4308090130133[CU14],Table1x4308090130133[RCR]^{1,2,3}),1,2)</f>
        <v>1.6078088578088581</v>
      </c>
    </row>
    <row r="28" spans="1:114" x14ac:dyDescent="0.25">
      <c r="C28" s="3"/>
      <c r="H28" s="5"/>
      <c r="I28" t="s">
        <v>220</v>
      </c>
      <c r="J28">
        <f t="array" ref="J28">INDEX(LINEST(TablePBL7181121[CU],TablePBL7181121[RCR]^{1,2,3}),1,3)</f>
        <v>-17.695027195027187</v>
      </c>
      <c r="K28">
        <f>INDEX(LINEST(TablePBL7181121[CU1],TablePBL7181121[RCR]^{1,2,3}),1,3)</f>
        <v>-21.755633255633246</v>
      </c>
      <c r="L28">
        <f>INDEX(LINEST(TablePBL7181121[CU2],TablePBL7181121[RCR]^{1,2,3}),1,3)</f>
        <v>-25.627816627816607</v>
      </c>
      <c r="M28">
        <f>INDEX(LINEST(TablePBL7181121[CU3],TablePBL7181121[RCR]^{1,2,3}),1,3)</f>
        <v>-17.084304584304611</v>
      </c>
      <c r="N28">
        <f>INDEX(LINEST(TablePBL7181121[CU4],TablePBL7181121[RCR]^{1,2,3}),1,3)</f>
        <v>-21.422299922299924</v>
      </c>
      <c r="O28">
        <f>INDEX(LINEST(TablePBL7181121[CU5],TablePBL7181121[RCR]^{1,2,3}),1,3)</f>
        <v>-24.837606837606852</v>
      </c>
      <c r="P28">
        <f>INDEX(LINEST(TablePBL7181121[CU6],TablePBL7181121[RCR]^{1,2,3}),1,3)</f>
        <v>-15.415695415695422</v>
      </c>
      <c r="Q28">
        <f>INDEX(LINEST(TablePBL7181121[CU7],TablePBL7181121[RCR]^{1,2,3}),1,3)</f>
        <v>-19.201631701631694</v>
      </c>
      <c r="R28">
        <f>INDEX(LINEST(TablePBL7181121[CU8],TablePBL7181121[RCR]^{1,2,3}),1,3)</f>
        <v>-21.998057498057495</v>
      </c>
      <c r="S28">
        <f>INDEX(LINEST(TablePBL7181121[CU9],TablePBL7181121[RCR]^{1,2,3}),1,3)</f>
        <v>-14.957653457653462</v>
      </c>
      <c r="T28">
        <f>INDEX(LINEST(TablePBL7181121[CU10],TablePBL7181121[RCR]^{1,2,3}),1,3)</f>
        <v>-17.749805749805759</v>
      </c>
      <c r="U28">
        <f>INDEX(LINEST(TablePBL7181121[CU11],TablePBL7181121[RCR]^{1,2,3}),1,3)</f>
        <v>-20.164335664335685</v>
      </c>
      <c r="V28">
        <f>INDEX(LINEST(TablePBL7181121[CU12],TablePBL7181121[RCR]^{1,2,3}),1,3)</f>
        <v>-13.630147630147627</v>
      </c>
      <c r="W28">
        <f>INDEX(LINEST(TablePBL7181121[CU13],TablePBL7181121[RCR]^{1,2,3}),1,3)</f>
        <v>-15.81507381507382</v>
      </c>
      <c r="X28">
        <f>INDEX(LINEST(TablePBL7181121[CU14],TablePBL7181121[RCR]^{1,2,3}),1,3)</f>
        <v>-18.410256410256416</v>
      </c>
      <c r="Z28" t="s">
        <v>220</v>
      </c>
      <c r="AA28">
        <f>INDEX(LINEST(TablePBLFR7888128[CU],TablePBLFR7888128[RCR]^{1,2,3}),1,3)</f>
        <v>-17.465423465423491</v>
      </c>
      <c r="AB28">
        <f>INDEX(LINEST(TablePBLFR7888128[CU1],TablePBLFR7888128[RCR]^{1,2,3}),1,3)</f>
        <v>-21.863636363636349</v>
      </c>
      <c r="AC28">
        <f>INDEX(LINEST(TablePBLFR7888128[CU2],TablePBLFR7888128[RCR]^{1,2,3}),1,3)</f>
        <v>-25.773892773892797</v>
      </c>
      <c r="AD28">
        <f>INDEX(LINEST(TablePBLFR7888128[CU3],TablePBLFR7888128[RCR]^{1,2,3}),1,3)</f>
        <v>-17.241647241647232</v>
      </c>
      <c r="AE28">
        <f>INDEX(LINEST(TablePBLFR7888128[CU4],TablePBLFR7888128[RCR]^{1,2,3}),1,3)</f>
        <v>-21.396270396270406</v>
      </c>
      <c r="AF28">
        <f>INDEX(LINEST(TablePBLFR7888128[CU5],TablePBLFR7888128[RCR]^{1,2,3}),1,3)</f>
        <v>-24.480963480963503</v>
      </c>
      <c r="AG28">
        <f>INDEX(LINEST(TablePBLFR7888128[CU6],TablePBLFR7888128[RCR]^{1,2,3}),1,3)</f>
        <v>-15.720668220668237</v>
      </c>
      <c r="AH28">
        <f>INDEX(LINEST(TablePBLFR7888128[CU7],TablePBLFR7888128[RCR]^{1,2,3}),1,3)</f>
        <v>-19.602564102564099</v>
      </c>
      <c r="AI28">
        <f>INDEX(LINEST(TablePBLFR7888128[CU8],TablePBLFR7888128[RCR]^{1,2,3}),1,3)</f>
        <v>-22.916083916083945</v>
      </c>
      <c r="AJ28">
        <f>INDEX(LINEST(TablePBLFR7888128[CU9],TablePBLFR7888128[RCR]^{1,2,3}),1,3)</f>
        <v>-14.845376845376855</v>
      </c>
      <c r="AK28">
        <f>INDEX(LINEST(TablePBLFR7888128[CU10],TablePBLFR7888128[RCR]^{1,2,3}),1,3)</f>
        <v>-17.486402486402497</v>
      </c>
      <c r="AL28">
        <f>INDEX(LINEST(TablePBLFR7888128[CU11],TablePBLFR7888128[RCR]^{1,2,3}),1,3)</f>
        <v>-20.14452214452217</v>
      </c>
      <c r="AM28">
        <f>INDEX(LINEST(TablePBLFR7888128[CU12],TablePBLFR7888128[RCR]^{1,2,3}),1,3)</f>
        <v>-13.917637917637915</v>
      </c>
      <c r="AN28">
        <f>INDEX(LINEST(TablePBLFR7888128[CU13],TablePBLFR7888128[RCR]^{1,2,3}),1,3)</f>
        <v>-16.38150738150739</v>
      </c>
      <c r="AO28">
        <f>INDEX(LINEST(TablePBLFR7888128[CU14],TablePBLFR7888128[RCR]^{1,2,3}),1,3)</f>
        <v>-18.530303030303028</v>
      </c>
      <c r="AQ28" t="s">
        <v>220</v>
      </c>
      <c r="AR28">
        <f>INDEX(LINEST(Table1x4308090130[CU],Table1x4308090130[RCR]^{1,2,3}),1,3)</f>
        <v>-17.50077700077701</v>
      </c>
      <c r="AS28">
        <f>INDEX(LINEST(Table1x4308090130[CU1],Table1x4308090130[RCR]^{1,2,3}),1,3)</f>
        <v>-22.120046620046633</v>
      </c>
      <c r="AT28">
        <f>INDEX(LINEST(Table1x4308090130[CU2],Table1x4308090130[RCR]^{1,2,3}),1,3)</f>
        <v>-25.772338772338806</v>
      </c>
      <c r="AU28">
        <f>INDEX(LINEST(Table1x4308090130[CU3],Table1x4308090130[RCR]^{1,2,3}),1,3)</f>
        <v>-16.587801087801079</v>
      </c>
      <c r="AV28">
        <f>INDEX(LINEST(Table1x4308090130[CU4],Table1x4308090130[RCR]^{1,2,3}),1,3)</f>
        <v>-20.946386946386944</v>
      </c>
      <c r="AW28">
        <f>INDEX(LINEST(Table1x4308090130[CU5],Table1x4308090130[RCR]^{1,2,3}),1,3)</f>
        <v>-24.341103341103366</v>
      </c>
      <c r="AX28">
        <f>INDEX(LINEST(Table1x4308090130[CU6],Table1x4308090130[RCR]^{1,2,3}),1,3)</f>
        <v>-15.469308469308476</v>
      </c>
      <c r="AY28">
        <f>INDEX(LINEST(Table1x4308090130[CU7],Table1x4308090130[RCR]^{1,2,3}),1,3)</f>
        <v>-19.642191142191155</v>
      </c>
      <c r="AZ28">
        <f>INDEX(LINEST(Table1x4308090130[CU8],Table1x4308090130[RCR]^{1,2,3}),1,3)</f>
        <v>-22.419580419580424</v>
      </c>
      <c r="BA28">
        <f>INDEX(LINEST(Table1x4308090130[CU9],Table1x4308090130[RCR]^{1,2,3}),1,3)</f>
        <v>-15.014763014763041</v>
      </c>
      <c r="BB28">
        <f>INDEX(LINEST(Table1x4308090130[CU10],Table1x4308090130[RCR]^{1,2,3}),1,3)</f>
        <v>-17.803418803418811</v>
      </c>
      <c r="BC28">
        <f>INDEX(LINEST(Table1x4308090130[CU11],Table1x4308090130[RCR]^{1,2,3}),1,3)</f>
        <v>-20.217948717948715</v>
      </c>
      <c r="BD28">
        <f>INDEX(LINEST(Table1x4308090130[CU12],Table1x4308090130[RCR]^{1,2,3}),1,3)</f>
        <v>-14.180264180264196</v>
      </c>
      <c r="BE28">
        <f>INDEX(LINEST(Table1x4308090130[CU13],Table1x4308090130[RCR]^{1,2,3}),1,3)</f>
        <v>-16.322066822066834</v>
      </c>
      <c r="BF28">
        <f>INDEX(LINEST(Table1x4308090130[CU14],Table1x4308090130[RCR]^{1,2,3}),1,3)</f>
        <v>-18.33605283605284</v>
      </c>
      <c r="BH28" t="s">
        <v>220</v>
      </c>
      <c r="BI28">
        <f t="array" ref="BI28">INDEX(LINEST(TablePBL7181121131[CU],TablePBL7181121131[RCR]^{1,2,3}),1,3)</f>
        <v>-16.830613830613832</v>
      </c>
      <c r="BJ28">
        <f>INDEX(LINEST(TablePBL7181121131[CU1],TablePBL7181121131[RCR]^{1,2,3}),1,3)</f>
        <v>-21.142579642579662</v>
      </c>
      <c r="BK28">
        <f>INDEX(LINEST(TablePBL7181121131[CU2],TablePBL7181121131[RCR]^{1,2,3}),1,3)</f>
        <v>-25.014763014763041</v>
      </c>
      <c r="BL28">
        <f>INDEX(LINEST(TablePBL7181121131[CU3],TablePBL7181121131[RCR]^{1,2,3}),1,3)</f>
        <v>-16.587801087801079</v>
      </c>
      <c r="BM28">
        <f>INDEX(LINEST(TablePBL7181121131[CU4],TablePBL7181121131[RCR]^{1,2,3}),1,3)</f>
        <v>-20.702797202797189</v>
      </c>
      <c r="BN28">
        <f>INDEX(LINEST(TablePBL7181121131[CU5],TablePBL7181121131[RCR]^{1,2,3}),1,3)</f>
        <v>-24.131313131313149</v>
      </c>
      <c r="BO28">
        <f>INDEX(LINEST(TablePBL7181121131[CU6],TablePBL7181121131[RCR]^{1,2,3}),1,3)</f>
        <v>-15.39588189588191</v>
      </c>
      <c r="BP28">
        <f>INDEX(LINEST(TablePBL7181121131[CU7],TablePBL7181121131[RCR]^{1,2,3}),1,3)</f>
        <v>-19.048951048951071</v>
      </c>
      <c r="BQ28">
        <f>INDEX(LINEST(TablePBL7181121131[CU8],TablePBL7181121131[RCR]^{1,2,3}),1,3)</f>
        <v>-21.854700854700862</v>
      </c>
      <c r="BR28">
        <f>INDEX(LINEST(TablePBL7181121131[CU9],TablePBL7181121131[RCR]^{1,2,3}),1,3)</f>
        <v>-14.291763791763797</v>
      </c>
      <c r="BS28">
        <f>INDEX(LINEST(TablePBL7181121131[CU10],TablePBL7181121131[RCR]^{1,2,3}),1,3)</f>
        <v>-17.136752136752158</v>
      </c>
      <c r="BT28">
        <f>INDEX(LINEST(TablePBL7181121131[CU11],TablePBL7181121131[RCR]^{1,2,3}),1,3)</f>
        <v>-19.590909090909093</v>
      </c>
      <c r="BU28">
        <f>INDEX(LINEST(TablePBL7181121131[CU12],TablePBL7181121131[RCR]^{1,2,3}),1,3)</f>
        <v>-13.364024864024859</v>
      </c>
      <c r="BV28">
        <f>INDEX(LINEST(TablePBL7181121131[CU13],TablePBL7181121131[RCR]^{1,2,3}),1,3)</f>
        <v>-15.520590520590538</v>
      </c>
      <c r="BW28">
        <f>INDEX(LINEST(TablePBL7181121131[CU14],TablePBL7181121131[RCR]^{1,2,3}),1,3)</f>
        <v>-17.669386169386176</v>
      </c>
      <c r="BY28" t="s">
        <v>220</v>
      </c>
      <c r="BZ28">
        <f>INDEX(LINEST(TablePBLFR7888128132[CU],TablePBLFR7888128132[RCR]^{1,2,3}),1,3)</f>
        <v>-17.07420357420359</v>
      </c>
      <c r="CA28">
        <f>INDEX(LINEST(TablePBLFR7888128132[CU1],TablePBLFR7888128132[RCR]^{1,2,3}),1,3)</f>
        <v>-21.198523698523719</v>
      </c>
      <c r="CB28">
        <f>INDEX(LINEST(TablePBLFR7888128132[CU2],TablePBLFR7888128132[RCR]^{1,2,3}),1,3)</f>
        <v>-25.258352758352796</v>
      </c>
      <c r="CC28">
        <f>INDEX(LINEST(TablePBLFR7888128132[CU3],TablePBLFR7888128132[RCR]^{1,2,3}),1,3)</f>
        <v>-16.336441336441357</v>
      </c>
      <c r="CD28">
        <f>INDEX(LINEST(TablePBLFR7888128132[CU4],TablePBLFR7888128132[RCR]^{1,2,3}),1,3)</f>
        <v>-20.410256410256444</v>
      </c>
      <c r="CE28">
        <f>INDEX(LINEST(TablePBLFR7888128132[CU5],TablePBLFR7888128132[RCR]^{1,2,3}),1,3)</f>
        <v>-24.129370629370651</v>
      </c>
      <c r="CF28">
        <f>INDEX(LINEST(TablePBLFR7888128132[CU6],TablePBLFR7888128132[RCR]^{1,2,3}),1,3)</f>
        <v>-15.50893550893551</v>
      </c>
      <c r="CG28">
        <f>INDEX(LINEST(TablePBLFR7888128132[CU7],TablePBLFR7888128132[RCR]^{1,2,3}),1,3)</f>
        <v>-19.413364413364445</v>
      </c>
      <c r="CH28">
        <f>INDEX(LINEST(TablePBLFR7888128132[CU8],TablePBLFR7888128132[RCR]^{1,2,3}),1,3)</f>
        <v>-21.951437451437474</v>
      </c>
      <c r="CI28">
        <f>INDEX(LINEST(TablePBLFR7888128132[CU9],TablePBLFR7888128132[RCR]^{1,2,3}),1,3)</f>
        <v>-14.685703185703206</v>
      </c>
      <c r="CJ28">
        <f>INDEX(LINEST(TablePBLFR7888128132[CU10],TablePBLFR7888128132[RCR]^{1,2,3}),1,3)</f>
        <v>-17.843045843045839</v>
      </c>
      <c r="CK28">
        <f>INDEX(LINEST(TablePBLFR7888128132[CU11],TablePBLFR7888128132[RCR]^{1,2,3}),1,3)</f>
        <v>-19.950271950271969</v>
      </c>
      <c r="CL28">
        <f>INDEX(LINEST(TablePBLFR7888128132[CU12],TablePBLFR7888128132[RCR]^{1,2,3}),1,3)</f>
        <v>-13.723387723387741</v>
      </c>
      <c r="CM28">
        <f>INDEX(LINEST(TablePBLFR7888128132[CU13],TablePBLFR7888128132[RCR]^{1,2,3}),1,3)</f>
        <v>-16.093240093240098</v>
      </c>
      <c r="CN28">
        <f>INDEX(LINEST(TablePBLFR7888128132[CU14],TablePBLFR7888128132[RCR]^{1,2,3}),1,3)</f>
        <v>-18.540015540015567</v>
      </c>
      <c r="CP28" t="s">
        <v>220</v>
      </c>
      <c r="CQ28">
        <f>INDEX(LINEST(Table1x4308090130133[CU],Table1x4308090130133[RCR]^{1,2,3}),1,3)</f>
        <v>-16.868686868686861</v>
      </c>
      <c r="CR28">
        <f>INDEX(LINEST(Table1x4308090130133[CU1],Table1x4308090130133[RCR]^{1,2,3}),1,3)</f>
        <v>-21.173659673659689</v>
      </c>
      <c r="CS28">
        <f>INDEX(LINEST(Table1x4308090130133[CU2],Table1x4308090130133[RCR]^{1,2,3}),1,3)</f>
        <v>-24.470862470862471</v>
      </c>
      <c r="CT28">
        <f>INDEX(LINEST(Table1x4308090130133[CU3],Table1x4308090130133[RCR]^{1,2,3}),1,3)</f>
        <v>-16.068764568764589</v>
      </c>
      <c r="CU28">
        <f>INDEX(LINEST(Table1x4308090130133[CU4],Table1x4308090130133[RCR]^{1,2,3}),1,3)</f>
        <v>-20.244366744366783</v>
      </c>
      <c r="CV28">
        <f>INDEX(LINEST(Table1x4308090130133[CU5],Table1x4308090130133[RCR]^{1,2,3}),1,3)</f>
        <v>-23.634809634809674</v>
      </c>
      <c r="CW28">
        <f>INDEX(LINEST(Table1x4308090130133[CU6],Table1x4308090130133[RCR]^{1,2,3}),1,3)</f>
        <v>-14.972804972804973</v>
      </c>
      <c r="CX28">
        <f>INDEX(LINEST(Table1x4308090130133[CU7],Table1x4308090130133[RCR]^{1,2,3}),1,3)</f>
        <v>-18.44871794871796</v>
      </c>
      <c r="CY28">
        <f>INDEX(LINEST(Table1x4308090130133[CU8],Table1x4308090130133[RCR]^{1,2,3}),1,3)</f>
        <v>-21.454933954933949</v>
      </c>
      <c r="CZ28">
        <f>INDEX(LINEST(Table1x4308090130133[CU9],Table1x4308090130133[RCR]^{1,2,3}),1,3)</f>
        <v>-14.308469308469318</v>
      </c>
      <c r="DA28">
        <f>INDEX(LINEST(Table1x4308090130133[CU10],Table1x4308090130133[RCR]^{1,2,3}),1,3)</f>
        <v>-17.388111888111894</v>
      </c>
      <c r="DB28">
        <f>INDEX(LINEST(Table1x4308090130133[CU11],Table1x4308090130133[RCR]^{1,2,3}),1,3)</f>
        <v>-19.802641802641809</v>
      </c>
      <c r="DC28">
        <f>INDEX(LINEST(Table1x4308090130133[CU12],Table1x4308090130133[RCR]^{1,2,3}),1,3)</f>
        <v>-13.357420357420347</v>
      </c>
      <c r="DD28">
        <f>INDEX(LINEST(Table1x4308090130133[CU13],Table1x4308090130133[RCR]^{1,2,3}),1,3)</f>
        <v>-15.592463092463118</v>
      </c>
      <c r="DE28">
        <f>INDEX(LINEST(Table1x4308090130133[CU14],Table1x4308090130133[RCR]^{1,2,3}),1,3)</f>
        <v>-17.843045843045839</v>
      </c>
    </row>
    <row r="29" spans="1:114" x14ac:dyDescent="0.25">
      <c r="C29" s="3"/>
      <c r="H29" s="5"/>
      <c r="I29" t="s">
        <v>221</v>
      </c>
      <c r="J29">
        <f>INDEX(LINEST(TablePBL7181121[CU],TablePBL7181121[RCR]^{1,2,3}),1,4)</f>
        <v>117.69230769230765</v>
      </c>
      <c r="K29">
        <f>INDEX(LINEST(TablePBL7181121[CU1],TablePBL7181121[RCR]^{1,2,3}),1,4)</f>
        <v>117.36363636363633</v>
      </c>
      <c r="L29">
        <f>INDEX(LINEST(TablePBL7181121[CU2],TablePBL7181121[RCR]^{1,2,3}),1,4)</f>
        <v>116.97902097902092</v>
      </c>
      <c r="M29">
        <f>INDEX(LINEST(TablePBL7181121[CU3],TablePBL7181121[RCR]^{1,2,3}),1,4)</f>
        <v>114.80419580419583</v>
      </c>
      <c r="N29">
        <f>INDEX(LINEST(TablePBL7181121[CU4],TablePBL7181121[RCR]^{1,2,3}),1,4)</f>
        <v>114.32167832167829</v>
      </c>
      <c r="O29">
        <f>INDEX(LINEST(TablePBL7181121[CU5],TablePBL7181121[RCR]^{1,2,3}),1,4)</f>
        <v>114.18181818181817</v>
      </c>
      <c r="P29">
        <f>INDEX(LINEST(TablePBL7181121[CU6],TablePBL7181121[RCR]^{1,2,3}),1,4)</f>
        <v>107.60139860139859</v>
      </c>
      <c r="Q29">
        <f>INDEX(LINEST(TablePBL7181121[CU7],TablePBL7181121[RCR]^{1,2,3}),1,4)</f>
        <v>107.72027972027969</v>
      </c>
      <c r="R29">
        <f>INDEX(LINEST(TablePBL7181121[CU8],TablePBL7181121[RCR]^{1,2,3}),1,4)</f>
        <v>107.37062937062936</v>
      </c>
      <c r="S29">
        <f>INDEX(LINEST(TablePBL7181121[CU9],TablePBL7181121[RCR]^{1,2,3}),1,4)</f>
        <v>102.74825174825172</v>
      </c>
      <c r="T29">
        <f>INDEX(LINEST(TablePBL7181121[CU10],TablePBL7181121[RCR]^{1,2,3}),1,4)</f>
        <v>102.6083916083916</v>
      </c>
      <c r="U29">
        <f>INDEX(LINEST(TablePBL7181121[CU11],TablePBL7181121[RCR]^{1,2,3}),1,4)</f>
        <v>102.20279720279723</v>
      </c>
      <c r="V29">
        <f>INDEX(LINEST(TablePBL7181121[CU12],TablePBL7181121[RCR]^{1,2,3}),1,4)</f>
        <v>96.874125874125866</v>
      </c>
      <c r="W29">
        <f>INDEX(LINEST(TablePBL7181121[CU13],TablePBL7181121[RCR]^{1,2,3}),1,4)</f>
        <v>96.685314685314651</v>
      </c>
      <c r="X29">
        <f>INDEX(LINEST(TablePBL7181121[CU14],TablePBL7181121[RCR]^{1,2,3}),1,4)</f>
        <v>96.874125874125852</v>
      </c>
      <c r="Z29" t="s">
        <v>221</v>
      </c>
      <c r="AA29">
        <f>INDEX(LINEST(TablePBLFR7888128[CU],TablePBLFR7888128[RCR]^{1,2,3}),1,4)</f>
        <v>117.90909090909095</v>
      </c>
      <c r="AB29">
        <f>INDEX(LINEST(TablePBLFR7888128[CU1],TablePBLFR7888128[RCR]^{1,2,3}),1,4)</f>
        <v>117.43356643356636</v>
      </c>
      <c r="AC29">
        <f>INDEX(LINEST(TablePBLFR7888128[CU2],TablePBLFR7888128[RCR]^{1,2,3}),1,4)</f>
        <v>117.08391608391604</v>
      </c>
      <c r="AD29">
        <f>INDEX(LINEST(TablePBLFR7888128[CU3],TablePBLFR7888128[RCR]^{1,2,3}),1,4)</f>
        <v>114.95804195804192</v>
      </c>
      <c r="AE29">
        <f>INDEX(LINEST(TablePBLFR7888128[CU4],TablePBLFR7888128[RCR]^{1,2,3}),1,4)</f>
        <v>114.59440559440557</v>
      </c>
      <c r="AF29">
        <f>INDEX(LINEST(TablePBLFR7888128[CU5],TablePBLFR7888128[RCR]^{1,2,3}),1,4)</f>
        <v>114.06293706293707</v>
      </c>
      <c r="AG29">
        <f>INDEX(LINEST(TablePBLFR7888128[CU6],TablePBLFR7888128[RCR]^{1,2,3}),1,4)</f>
        <v>108.7972027972028</v>
      </c>
      <c r="AH29">
        <f>INDEX(LINEST(TablePBLFR7888128[CU7],TablePBLFR7888128[RCR]^{1,2,3}),1,4)</f>
        <v>108.47552447552442</v>
      </c>
      <c r="AI29">
        <f>INDEX(LINEST(TablePBLFR7888128[CU8],TablePBLFR7888128[RCR]^{1,2,3}),1,4)</f>
        <v>108.34265734265733</v>
      </c>
      <c r="AJ29">
        <f>INDEX(LINEST(TablePBLFR7888128[CU9],TablePBLFR7888128[RCR]^{1,2,3}),1,4)</f>
        <v>102.88811188811189</v>
      </c>
      <c r="AK29">
        <f>INDEX(LINEST(TablePBLFR7888128[CU10],TablePBLFR7888128[RCR]^{1,2,3}),1,4)</f>
        <v>102.53846153846155</v>
      </c>
      <c r="AL29">
        <f>INDEX(LINEST(TablePBLFR7888128[CU11],TablePBLFR7888128[RCR]^{1,2,3}),1,4)</f>
        <v>102.55244755244756</v>
      </c>
      <c r="AM29">
        <f>INDEX(LINEST(TablePBLFR7888128[CU12],TablePBLFR7888128[RCR]^{1,2,3}),1,4)</f>
        <v>97.853146853146853</v>
      </c>
      <c r="AN29">
        <f>INDEX(LINEST(TablePBLFR7888128[CU13],TablePBLFR7888128[RCR]^{1,2,3}),1,4)</f>
        <v>97.846153846153825</v>
      </c>
      <c r="AO29">
        <f>INDEX(LINEST(TablePBLFR7888128[CU14],TablePBLFR7888128[RCR]^{1,2,3}),1,4)</f>
        <v>97.7972027972028</v>
      </c>
      <c r="AQ29" t="s">
        <v>221</v>
      </c>
      <c r="AR29">
        <f>INDEX(LINEST(Table1x4308090130[CU],Table1x4308090130[RCR]^{1,2,3}),1,4)</f>
        <v>118.67132867132867</v>
      </c>
      <c r="AS29">
        <f>INDEX(LINEST(Table1x4308090130[CU1],Table1x4308090130[RCR]^{1,2,3}),1,4)</f>
        <v>118.54545454545455</v>
      </c>
      <c r="AT29">
        <f>INDEX(LINEST(Table1x4308090130[CU2],Table1x4308090130[RCR]^{1,2,3}),1,4)</f>
        <v>118.07692307692309</v>
      </c>
      <c r="AU29">
        <f>INDEX(LINEST(Table1x4308090130[CU3],Table1x4308090130[RCR]^{1,2,3}),1,4)</f>
        <v>115.11188811188808</v>
      </c>
      <c r="AV29">
        <f>INDEX(LINEST(Table1x4308090130[CU4],Table1x4308090130[RCR]^{1,2,3}),1,4)</f>
        <v>114.8321678321678</v>
      </c>
      <c r="AW29">
        <f>INDEX(LINEST(Table1x4308090130[CU5],Table1x4308090130[RCR]^{1,2,3}),1,4)</f>
        <v>114.48951048951051</v>
      </c>
      <c r="AX29">
        <f>INDEX(LINEST(Table1x4308090130[CU6],Table1x4308090130[RCR]^{1,2,3}),1,4)</f>
        <v>109.67832167832167</v>
      </c>
      <c r="AY29">
        <f>INDEX(LINEST(Table1x4308090130[CU7],Table1x4308090130[RCR]^{1,2,3}),1,4)</f>
        <v>109.8111888111888</v>
      </c>
      <c r="AZ29">
        <f>INDEX(LINEST(Table1x4308090130[CU8],Table1x4308090130[RCR]^{1,2,3}),1,4)</f>
        <v>109.65034965034963</v>
      </c>
      <c r="BA29">
        <f>INDEX(LINEST(Table1x4308090130[CU9],Table1x4308090130[RCR]^{1,2,3}),1,4)</f>
        <v>104.84615384615388</v>
      </c>
      <c r="BB29">
        <f>INDEX(LINEST(Table1x4308090130[CU10],Table1x4308090130[RCR]^{1,2,3}),1,4)</f>
        <v>104.68531468531467</v>
      </c>
      <c r="BC29">
        <f>INDEX(LINEST(Table1x4308090130[CU11],Table1x4308090130[RCR]^{1,2,3}),1,4)</f>
        <v>104.27972027972027</v>
      </c>
      <c r="BD29">
        <f>INDEX(LINEST(Table1x4308090130[CU12],Table1x4308090130[RCR]^{1,2,3}),1,4)</f>
        <v>100.04195804195805</v>
      </c>
      <c r="BE29">
        <f>INDEX(LINEST(Table1x4308090130[CU13],Table1x4308090130[RCR]^{1,2,3}),1,4)</f>
        <v>99.860139860139839</v>
      </c>
      <c r="BF29">
        <f>INDEX(LINEST(Table1x4308090130[CU14],Table1x4308090130[RCR]^{1,2,3}),1,4)</f>
        <v>99.776223776223759</v>
      </c>
      <c r="BH29" t="s">
        <v>221</v>
      </c>
      <c r="BI29">
        <f>INDEX(LINEST(TablePBL7181121131[CU],TablePBL7181121131[RCR]^{1,2,3}),1,4)</f>
        <v>117.79720279720281</v>
      </c>
      <c r="BJ29">
        <f>INDEX(LINEST(TablePBL7181121131[CU1],TablePBL7181121131[RCR]^{1,2,3}),1,4)</f>
        <v>117.58741258741259</v>
      </c>
      <c r="BK29">
        <f>INDEX(LINEST(TablePBL7181121131[CU2],TablePBL7181121131[RCR]^{1,2,3}),1,4)</f>
        <v>117.20279720279721</v>
      </c>
      <c r="BL29">
        <f>INDEX(LINEST(TablePBL7181121131[CU3],TablePBL7181121131[RCR]^{1,2,3}),1,4)</f>
        <v>115.11188811188808</v>
      </c>
      <c r="BM29">
        <f>INDEX(LINEST(TablePBL7181121131[CU4],TablePBL7181121131[RCR]^{1,2,3}),1,4)</f>
        <v>114.41258741258737</v>
      </c>
      <c r="BN29">
        <f>INDEX(LINEST(TablePBL7181121131[CU5],TablePBL7181121131[RCR]^{1,2,3}),1,4)</f>
        <v>114.35664335664335</v>
      </c>
      <c r="BO29">
        <f>INDEX(LINEST(TablePBL7181121131[CU6],TablePBL7181121131[RCR]^{1,2,3}),1,4)</f>
        <v>108.95104895104895</v>
      </c>
      <c r="BP29">
        <f>INDEX(LINEST(TablePBL7181121131[CU7],TablePBL7181121131[RCR]^{1,2,3}),1,4)</f>
        <v>108.68531468531469</v>
      </c>
      <c r="BQ29">
        <f>INDEX(LINEST(TablePBL7181121131[CU8],TablePBL7181121131[RCR]^{1,2,3}),1,4)</f>
        <v>108.32167832167829</v>
      </c>
      <c r="BR29">
        <f>INDEX(LINEST(TablePBL7181121131[CU9],TablePBL7181121131[RCR]^{1,2,3}),1,4)</f>
        <v>103.09790209790209</v>
      </c>
      <c r="BS29">
        <f>INDEX(LINEST(TablePBL7181121131[CU10],TablePBL7181121131[RCR]^{1,2,3}),1,4)</f>
        <v>102.83216783216783</v>
      </c>
      <c r="BT29">
        <f>INDEX(LINEST(TablePBL7181121131[CU11],TablePBL7181121131[RCR]^{1,2,3}),1,4)</f>
        <v>102.76223776223776</v>
      </c>
      <c r="BU29">
        <f>INDEX(LINEST(TablePBL7181121131[CU12],TablePBL7181121131[RCR]^{1,2,3}),1,4)</f>
        <v>98.062937062937024</v>
      </c>
      <c r="BV29">
        <f>INDEX(LINEST(TablePBL7181121131[CU13],TablePBL7181121131[RCR]^{1,2,3}),1,4)</f>
        <v>97.972027972027959</v>
      </c>
      <c r="BW29">
        <f>INDEX(LINEST(TablePBL7181121131[CU14],TablePBL7181121131[RCR]^{1,2,3}),1,4)</f>
        <v>97.923076923076906</v>
      </c>
      <c r="BY29" t="s">
        <v>221</v>
      </c>
      <c r="BZ29">
        <f>INDEX(LINEST(TablePBLFR7888128132[CU],TablePBLFR7888128132[RCR]^{1,2,3}),1,4)</f>
        <v>118.21678321678323</v>
      </c>
      <c r="CA29">
        <f>INDEX(LINEST(TablePBLFR7888128132[CU1],TablePBLFR7888128132[RCR]^{1,2,3}),1,4)</f>
        <v>117.95104895104893</v>
      </c>
      <c r="CB29">
        <f>INDEX(LINEST(TablePBLFR7888128132[CU2],TablePBLFR7888128132[RCR]^{1,2,3}),1,4)</f>
        <v>117.62237762237763</v>
      </c>
      <c r="CC29">
        <f>INDEX(LINEST(TablePBLFR7888128132[CU3],TablePBLFR7888128132[RCR]^{1,2,3}),1,4)</f>
        <v>114.99300699300701</v>
      </c>
      <c r="CD29">
        <f>INDEX(LINEST(TablePBLFR7888128132[CU4],TablePBLFR7888128132[RCR]^{1,2,3}),1,4)</f>
        <v>114.80419580419581</v>
      </c>
      <c r="CE29">
        <f>INDEX(LINEST(TablePBLFR7888128132[CU5],TablePBLFR7888128132[RCR]^{1,2,3}),1,4)</f>
        <v>114.70629370629369</v>
      </c>
      <c r="CF29">
        <f>INDEX(LINEST(TablePBLFR7888128132[CU6],TablePBLFR7888128132[RCR]^{1,2,3}),1,4)</f>
        <v>110.01398601398598</v>
      </c>
      <c r="CG29">
        <f>INDEX(LINEST(TablePBLFR7888128132[CU7],TablePBLFR7888128132[RCR]^{1,2,3}),1,4)</f>
        <v>109.86713286713288</v>
      </c>
      <c r="CH29">
        <f>INDEX(LINEST(TablePBLFR7888128132[CU8],TablePBLFR7888128132[RCR]^{1,2,3}),1,4)</f>
        <v>109.39160839160837</v>
      </c>
      <c r="CI29">
        <f>INDEX(LINEST(TablePBLFR7888128132[CU9],TablePBLFR7888128132[RCR]^{1,2,3}),1,4)</f>
        <v>104.84615384615385</v>
      </c>
      <c r="CJ29">
        <f>INDEX(LINEST(TablePBLFR7888128132[CU10],TablePBLFR7888128132[RCR]^{1,2,3}),1,4)</f>
        <v>105.02097902097903</v>
      </c>
      <c r="CK29">
        <f>INDEX(LINEST(TablePBLFR7888128132[CU11],TablePBLFR7888128132[RCR]^{1,2,3}),1,4)</f>
        <v>104.53146853146853</v>
      </c>
      <c r="CL29">
        <f>INDEX(LINEST(TablePBLFR7888128132[CU12],TablePBLFR7888128132[RCR]^{1,2,3}),1,4)</f>
        <v>99.832167832167841</v>
      </c>
      <c r="CM29">
        <f>INDEX(LINEST(TablePBLFR7888128132[CU13],TablePBLFR7888128132[RCR]^{1,2,3}),1,4)</f>
        <v>99.916083916083906</v>
      </c>
      <c r="CN29">
        <f>INDEX(LINEST(TablePBLFR7888128132[CU14],TablePBLFR7888128132[RCR]^{1,2,3}),1,4)</f>
        <v>99.860139860139839</v>
      </c>
      <c r="CP29" t="s">
        <v>221</v>
      </c>
      <c r="CQ29">
        <f>INDEX(LINEST(Table1x4308090130133[CU],Table1x4308090130133[RCR]^{1,2,3}),1,4)</f>
        <v>119.12587412587411</v>
      </c>
      <c r="CR29">
        <f>INDEX(LINEST(Table1x4308090130133[CU1],Table1x4308090130133[RCR]^{1,2,3}),1,4)</f>
        <v>119.09090909090908</v>
      </c>
      <c r="CS29">
        <f>INDEX(LINEST(Table1x4308090130133[CU2],Table1x4308090130133[RCR]^{1,2,3}),1,4)</f>
        <v>118.47552447552444</v>
      </c>
      <c r="CT29">
        <f>INDEX(LINEST(Table1x4308090130133[CU3],Table1x4308090130133[RCR]^{1,2,3}),1,4)</f>
        <v>116.24475524475524</v>
      </c>
      <c r="CU29">
        <f>INDEX(LINEST(Table1x4308090130133[CU4],Table1x4308090130133[RCR]^{1,2,3}),1,4)</f>
        <v>116.04895104895107</v>
      </c>
      <c r="CV29">
        <f>INDEX(LINEST(Table1x4308090130133[CU5],Table1x4308090130133[RCR]^{1,2,3}),1,4)</f>
        <v>115.66433566433567</v>
      </c>
      <c r="CW29">
        <f>INDEX(LINEST(Table1x4308090130133[CU6],Table1x4308090130133[RCR]^{1,2,3}),1,4)</f>
        <v>110.98601398601396</v>
      </c>
      <c r="CX29">
        <f>INDEX(LINEST(Table1x4308090130133[CU7],Table1x4308090130133[RCR]^{1,2,3}),1,4)</f>
        <v>110.91608391608389</v>
      </c>
      <c r="CY29">
        <f>INDEX(LINEST(Table1x4308090130133[CU8],Table1x4308090130133[RCR]^{1,2,3}),1,4)</f>
        <v>110.69930069930066</v>
      </c>
      <c r="CZ29">
        <f>INDEX(LINEST(Table1x4308090130133[CU9],Table1x4308090130133[RCR]^{1,2,3}),1,4)</f>
        <v>106.02097902097901</v>
      </c>
      <c r="DA29">
        <f>INDEX(LINEST(Table1x4308090130133[CU10],Table1x4308090130133[RCR]^{1,2,3}),1,4)</f>
        <v>106.31468531468531</v>
      </c>
      <c r="DB29">
        <f>INDEX(LINEST(Table1x4308090130133[CU11],Table1x4308090130133[RCR]^{1,2,3}),1,4)</f>
        <v>105.90909090909089</v>
      </c>
      <c r="DC29">
        <f>INDEX(LINEST(Table1x4308090130133[CU12],Table1x4308090130133[RCR]^{1,2,3}),1,4)</f>
        <v>101.13286713286712</v>
      </c>
      <c r="DD29">
        <f>INDEX(LINEST(Table1x4308090130133[CU13],Table1x4308090130133[RCR]^{1,2,3}),1,4)</f>
        <v>101.18181818181817</v>
      </c>
      <c r="DE29">
        <f>INDEX(LINEST(Table1x4308090130133[CU14],Table1x4308090130133[RCR]^{1,2,3}),1,4)</f>
        <v>101.02097902097903</v>
      </c>
    </row>
    <row r="30" spans="1:114" x14ac:dyDescent="0.25">
      <c r="A30" s="26" t="s">
        <v>126</v>
      </c>
      <c r="B30" s="27"/>
      <c r="C30" s="28"/>
      <c r="D30" s="27"/>
      <c r="H30" s="5"/>
      <c r="I30" t="s">
        <v>222</v>
      </c>
      <c r="J30" s="15" t="e">
        <f t="shared" ref="J30:X30" si="6">$C$16</f>
        <v>#DIV/0!</v>
      </c>
      <c r="K30" t="e">
        <f t="shared" si="6"/>
        <v>#DIV/0!</v>
      </c>
      <c r="L30" t="e">
        <f t="shared" si="6"/>
        <v>#DIV/0!</v>
      </c>
      <c r="M30" t="e">
        <f t="shared" si="6"/>
        <v>#DIV/0!</v>
      </c>
      <c r="N30" t="e">
        <f t="shared" si="6"/>
        <v>#DIV/0!</v>
      </c>
      <c r="O30" t="e">
        <f t="shared" si="6"/>
        <v>#DIV/0!</v>
      </c>
      <c r="P30" t="e">
        <f t="shared" si="6"/>
        <v>#DIV/0!</v>
      </c>
      <c r="Q30" t="e">
        <f t="shared" si="6"/>
        <v>#DIV/0!</v>
      </c>
      <c r="R30" t="e">
        <f t="shared" si="6"/>
        <v>#DIV/0!</v>
      </c>
      <c r="S30" t="e">
        <f t="shared" si="6"/>
        <v>#DIV/0!</v>
      </c>
      <c r="T30" t="e">
        <f t="shared" si="6"/>
        <v>#DIV/0!</v>
      </c>
      <c r="U30" t="e">
        <f t="shared" si="6"/>
        <v>#DIV/0!</v>
      </c>
      <c r="V30" t="e">
        <f t="shared" si="6"/>
        <v>#DIV/0!</v>
      </c>
      <c r="W30" t="e">
        <f t="shared" si="6"/>
        <v>#DIV/0!</v>
      </c>
      <c r="X30" t="e">
        <f t="shared" si="6"/>
        <v>#DIV/0!</v>
      </c>
      <c r="Z30" t="s">
        <v>222</v>
      </c>
      <c r="AA30" t="e">
        <f t="shared" ref="AA30:AO30" si="7">$C$16</f>
        <v>#DIV/0!</v>
      </c>
      <c r="AB30" t="e">
        <f t="shared" si="7"/>
        <v>#DIV/0!</v>
      </c>
      <c r="AC30" t="e">
        <f t="shared" si="7"/>
        <v>#DIV/0!</v>
      </c>
      <c r="AD30" t="e">
        <f t="shared" si="7"/>
        <v>#DIV/0!</v>
      </c>
      <c r="AE30" t="e">
        <f t="shared" si="7"/>
        <v>#DIV/0!</v>
      </c>
      <c r="AF30" t="e">
        <f t="shared" si="7"/>
        <v>#DIV/0!</v>
      </c>
      <c r="AG30" t="e">
        <f t="shared" si="7"/>
        <v>#DIV/0!</v>
      </c>
      <c r="AH30" t="e">
        <f t="shared" si="7"/>
        <v>#DIV/0!</v>
      </c>
      <c r="AI30" t="e">
        <f t="shared" si="7"/>
        <v>#DIV/0!</v>
      </c>
      <c r="AJ30" t="e">
        <f t="shared" si="7"/>
        <v>#DIV/0!</v>
      </c>
      <c r="AK30" t="e">
        <f t="shared" si="7"/>
        <v>#DIV/0!</v>
      </c>
      <c r="AL30" t="e">
        <f t="shared" si="7"/>
        <v>#DIV/0!</v>
      </c>
      <c r="AM30" t="e">
        <f t="shared" si="7"/>
        <v>#DIV/0!</v>
      </c>
      <c r="AN30" t="e">
        <f t="shared" si="7"/>
        <v>#DIV/0!</v>
      </c>
      <c r="AO30" t="e">
        <f t="shared" si="7"/>
        <v>#DIV/0!</v>
      </c>
      <c r="AQ30" t="s">
        <v>222</v>
      </c>
      <c r="AR30" t="e">
        <f t="shared" ref="AR30:BF30" si="8">$C$16</f>
        <v>#DIV/0!</v>
      </c>
      <c r="AS30" t="e">
        <f t="shared" si="8"/>
        <v>#DIV/0!</v>
      </c>
      <c r="AT30" t="e">
        <f t="shared" si="8"/>
        <v>#DIV/0!</v>
      </c>
      <c r="AU30" t="e">
        <f t="shared" si="8"/>
        <v>#DIV/0!</v>
      </c>
      <c r="AV30" t="e">
        <f t="shared" si="8"/>
        <v>#DIV/0!</v>
      </c>
      <c r="AW30" t="e">
        <f t="shared" si="8"/>
        <v>#DIV/0!</v>
      </c>
      <c r="AX30" t="e">
        <f t="shared" si="8"/>
        <v>#DIV/0!</v>
      </c>
      <c r="AY30" t="e">
        <f t="shared" si="8"/>
        <v>#DIV/0!</v>
      </c>
      <c r="AZ30" t="e">
        <f t="shared" si="8"/>
        <v>#DIV/0!</v>
      </c>
      <c r="BA30" t="e">
        <f t="shared" si="8"/>
        <v>#DIV/0!</v>
      </c>
      <c r="BB30" t="e">
        <f t="shared" si="8"/>
        <v>#DIV/0!</v>
      </c>
      <c r="BC30" t="e">
        <f t="shared" si="8"/>
        <v>#DIV/0!</v>
      </c>
      <c r="BD30" t="e">
        <f t="shared" si="8"/>
        <v>#DIV/0!</v>
      </c>
      <c r="BE30" t="e">
        <f t="shared" si="8"/>
        <v>#DIV/0!</v>
      </c>
      <c r="BF30" t="e">
        <f t="shared" si="8"/>
        <v>#DIV/0!</v>
      </c>
      <c r="BH30" t="s">
        <v>222</v>
      </c>
      <c r="BI30" s="15" t="e">
        <f t="shared" ref="BI30:BW30" si="9">$C$16</f>
        <v>#DIV/0!</v>
      </c>
      <c r="BJ30" t="e">
        <f t="shared" si="9"/>
        <v>#DIV/0!</v>
      </c>
      <c r="BK30" t="e">
        <f t="shared" si="9"/>
        <v>#DIV/0!</v>
      </c>
      <c r="BL30" t="e">
        <f t="shared" si="9"/>
        <v>#DIV/0!</v>
      </c>
      <c r="BM30" t="e">
        <f t="shared" si="9"/>
        <v>#DIV/0!</v>
      </c>
      <c r="BN30" t="e">
        <f t="shared" si="9"/>
        <v>#DIV/0!</v>
      </c>
      <c r="BO30" t="e">
        <f t="shared" si="9"/>
        <v>#DIV/0!</v>
      </c>
      <c r="BP30" t="e">
        <f t="shared" si="9"/>
        <v>#DIV/0!</v>
      </c>
      <c r="BQ30" t="e">
        <f t="shared" si="9"/>
        <v>#DIV/0!</v>
      </c>
      <c r="BR30" t="e">
        <f t="shared" si="9"/>
        <v>#DIV/0!</v>
      </c>
      <c r="BS30" t="e">
        <f t="shared" si="9"/>
        <v>#DIV/0!</v>
      </c>
      <c r="BT30" t="e">
        <f t="shared" si="9"/>
        <v>#DIV/0!</v>
      </c>
      <c r="BU30" t="e">
        <f t="shared" si="9"/>
        <v>#DIV/0!</v>
      </c>
      <c r="BV30" t="e">
        <f t="shared" si="9"/>
        <v>#DIV/0!</v>
      </c>
      <c r="BW30" t="e">
        <f t="shared" si="9"/>
        <v>#DIV/0!</v>
      </c>
      <c r="BY30" t="s">
        <v>222</v>
      </c>
      <c r="BZ30" t="e">
        <f t="shared" ref="BZ30:CN30" si="10">$C$16</f>
        <v>#DIV/0!</v>
      </c>
      <c r="CA30" t="e">
        <f t="shared" si="10"/>
        <v>#DIV/0!</v>
      </c>
      <c r="CB30" t="e">
        <f t="shared" si="10"/>
        <v>#DIV/0!</v>
      </c>
      <c r="CC30" t="e">
        <f t="shared" si="10"/>
        <v>#DIV/0!</v>
      </c>
      <c r="CD30" t="e">
        <f t="shared" si="10"/>
        <v>#DIV/0!</v>
      </c>
      <c r="CE30" t="e">
        <f t="shared" si="10"/>
        <v>#DIV/0!</v>
      </c>
      <c r="CF30" t="e">
        <f t="shared" si="10"/>
        <v>#DIV/0!</v>
      </c>
      <c r="CG30" t="e">
        <f t="shared" si="10"/>
        <v>#DIV/0!</v>
      </c>
      <c r="CH30" t="e">
        <f t="shared" si="10"/>
        <v>#DIV/0!</v>
      </c>
      <c r="CI30" t="e">
        <f t="shared" si="10"/>
        <v>#DIV/0!</v>
      </c>
      <c r="CJ30" t="e">
        <f t="shared" si="10"/>
        <v>#DIV/0!</v>
      </c>
      <c r="CK30" t="e">
        <f t="shared" si="10"/>
        <v>#DIV/0!</v>
      </c>
      <c r="CL30" t="e">
        <f t="shared" si="10"/>
        <v>#DIV/0!</v>
      </c>
      <c r="CM30" t="e">
        <f t="shared" si="10"/>
        <v>#DIV/0!</v>
      </c>
      <c r="CN30" t="e">
        <f t="shared" si="10"/>
        <v>#DIV/0!</v>
      </c>
      <c r="CP30" t="s">
        <v>222</v>
      </c>
      <c r="CQ30" t="e">
        <f t="shared" ref="CQ30:DE30" si="11">$C$16</f>
        <v>#DIV/0!</v>
      </c>
      <c r="CR30" t="e">
        <f t="shared" si="11"/>
        <v>#DIV/0!</v>
      </c>
      <c r="CS30" t="e">
        <f t="shared" si="11"/>
        <v>#DIV/0!</v>
      </c>
      <c r="CT30" t="e">
        <f t="shared" si="11"/>
        <v>#DIV/0!</v>
      </c>
      <c r="CU30" t="e">
        <f t="shared" si="11"/>
        <v>#DIV/0!</v>
      </c>
      <c r="CV30" t="e">
        <f t="shared" si="11"/>
        <v>#DIV/0!</v>
      </c>
      <c r="CW30" t="e">
        <f t="shared" si="11"/>
        <v>#DIV/0!</v>
      </c>
      <c r="CX30" t="e">
        <f t="shared" si="11"/>
        <v>#DIV/0!</v>
      </c>
      <c r="CY30" t="e">
        <f t="shared" si="11"/>
        <v>#DIV/0!</v>
      </c>
      <c r="CZ30" t="e">
        <f t="shared" si="11"/>
        <v>#DIV/0!</v>
      </c>
      <c r="DA30" t="e">
        <f t="shared" si="11"/>
        <v>#DIV/0!</v>
      </c>
      <c r="DB30" t="e">
        <f t="shared" si="11"/>
        <v>#DIV/0!</v>
      </c>
      <c r="DC30" t="e">
        <f t="shared" si="11"/>
        <v>#DIV/0!</v>
      </c>
      <c r="DD30" t="e">
        <f t="shared" si="11"/>
        <v>#DIV/0!</v>
      </c>
      <c r="DE30" t="e">
        <f t="shared" si="11"/>
        <v>#DIV/0!</v>
      </c>
      <c r="DF30" s="27"/>
      <c r="DG30" s="27"/>
      <c r="DH30" s="27"/>
      <c r="DI30" s="27"/>
      <c r="DJ30" s="27"/>
    </row>
    <row r="31" spans="1:114" x14ac:dyDescent="0.25">
      <c r="B31" t="s">
        <v>10</v>
      </c>
      <c r="C31" s="22"/>
      <c r="H31" s="5"/>
    </row>
    <row r="32" spans="1:114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724</v>
      </c>
      <c r="L32" t="s">
        <v>13</v>
      </c>
    </row>
    <row r="33" spans="1:114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 t="s">
        <v>1047</v>
      </c>
      <c r="L33" t="e">
        <f>J25</f>
        <v>#DIV/0!</v>
      </c>
    </row>
    <row r="34" spans="1:114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 t="s">
        <v>1047</v>
      </c>
      <c r="L34" t="e">
        <f>K25</f>
        <v>#DIV/0!</v>
      </c>
    </row>
    <row r="35" spans="1:114" x14ac:dyDescent="0.25">
      <c r="C35" s="1"/>
      <c r="H35" t="s">
        <v>17</v>
      </c>
      <c r="I35">
        <v>80</v>
      </c>
      <c r="J35">
        <v>10</v>
      </c>
      <c r="K35" t="s">
        <v>1047</v>
      </c>
      <c r="L35" t="e">
        <f>L25</f>
        <v>#DIV/0!</v>
      </c>
    </row>
    <row r="36" spans="1:114" x14ac:dyDescent="0.25">
      <c r="C36" s="1"/>
      <c r="H36" t="s">
        <v>18</v>
      </c>
      <c r="I36">
        <v>70</v>
      </c>
      <c r="J36">
        <v>50</v>
      </c>
      <c r="K36" t="s">
        <v>1047</v>
      </c>
      <c r="L36" t="e">
        <f>M25</f>
        <v>#DIV/0!</v>
      </c>
    </row>
    <row r="37" spans="1:114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 t="s">
        <v>1047</v>
      </c>
      <c r="L37" t="e">
        <f>N25</f>
        <v>#DIV/0!</v>
      </c>
      <c r="DF37" s="27"/>
      <c r="DG37" s="27"/>
      <c r="DH37" s="27"/>
      <c r="DI37" s="27"/>
      <c r="DJ37" s="27"/>
    </row>
    <row r="38" spans="1:114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 t="s">
        <v>1047</v>
      </c>
      <c r="L38" t="e">
        <f>O25</f>
        <v>#DIV/0!</v>
      </c>
    </row>
    <row r="39" spans="1:114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 t="s">
        <v>1047</v>
      </c>
      <c r="L39" t="e">
        <f>P25</f>
        <v>#DIV/0!</v>
      </c>
    </row>
    <row r="40" spans="1:114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 t="s">
        <v>1047</v>
      </c>
      <c r="L40" t="e">
        <f>Q25</f>
        <v>#DIV/0!</v>
      </c>
    </row>
    <row r="41" spans="1:114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 t="s">
        <v>1047</v>
      </c>
      <c r="L41" t="e">
        <f>R25</f>
        <v>#DIV/0!</v>
      </c>
    </row>
    <row r="42" spans="1:114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 t="s">
        <v>1047</v>
      </c>
      <c r="L42" t="e">
        <f>S25</f>
        <v>#DIV/0!</v>
      </c>
    </row>
    <row r="43" spans="1:114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 t="s">
        <v>1047</v>
      </c>
      <c r="L43" t="e">
        <f>T25</f>
        <v>#DIV/0!</v>
      </c>
    </row>
    <row r="44" spans="1:114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1.28</v>
      </c>
      <c r="F44" s="12">
        <f>E44*(C14-C15)</f>
        <v>-3.2</v>
      </c>
      <c r="H44" t="s">
        <v>25</v>
      </c>
      <c r="I44">
        <v>30</v>
      </c>
      <c r="J44">
        <v>10</v>
      </c>
      <c r="K44" t="s">
        <v>1047</v>
      </c>
      <c r="L44" t="e">
        <f>U25</f>
        <v>#DIV/0!</v>
      </c>
    </row>
    <row r="45" spans="1:114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1.3</v>
      </c>
      <c r="F45" s="12">
        <f>E45*(C14-C15)</f>
        <v>-3.25</v>
      </c>
      <c r="H45" t="s">
        <v>27</v>
      </c>
      <c r="I45">
        <v>10</v>
      </c>
      <c r="J45">
        <v>50</v>
      </c>
      <c r="K45" t="s">
        <v>1047</v>
      </c>
      <c r="L45" t="e">
        <f>V25</f>
        <v>#DIV/0!</v>
      </c>
    </row>
    <row r="46" spans="1:114" x14ac:dyDescent="0.25">
      <c r="B46" t="s">
        <v>1346</v>
      </c>
      <c r="C46" s="1" t="e">
        <f>IF(C39=1,C5/2,C44/2)</f>
        <v>#N/A</v>
      </c>
      <c r="D46" t="s">
        <v>8</v>
      </c>
      <c r="H46" t="s">
        <v>28</v>
      </c>
      <c r="I46">
        <v>10</v>
      </c>
      <c r="J46">
        <v>30</v>
      </c>
      <c r="K46" t="s">
        <v>1047</v>
      </c>
      <c r="L46" t="e">
        <f>W25</f>
        <v>#DIV/0!</v>
      </c>
    </row>
    <row r="47" spans="1:114" x14ac:dyDescent="0.25">
      <c r="B47" t="s">
        <v>1347</v>
      </c>
      <c r="C47" s="1" t="e">
        <f>IF(C40=1,C6/2,C45/2)</f>
        <v>#N/A</v>
      </c>
      <c r="D47" t="s">
        <v>8</v>
      </c>
      <c r="H47" t="s">
        <v>29</v>
      </c>
      <c r="I47">
        <v>10</v>
      </c>
      <c r="J47">
        <v>10</v>
      </c>
      <c r="K47" t="s">
        <v>1047</v>
      </c>
      <c r="L47" t="e">
        <f>X25</f>
        <v>#DIV/0!</v>
      </c>
    </row>
    <row r="48" spans="1:114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 t="s">
        <v>1048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 t="s">
        <v>1048</v>
      </c>
      <c r="L49" t="e">
        <f>AB25</f>
        <v>#DIV/0!</v>
      </c>
    </row>
    <row r="50" spans="1:12" ht="15" customHeight="1" x14ac:dyDescent="0.25">
      <c r="H50" t="s">
        <v>17</v>
      </c>
      <c r="I50">
        <v>80</v>
      </c>
      <c r="J50">
        <v>10</v>
      </c>
      <c r="K50" t="s">
        <v>1048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 t="s">
        <v>1048</v>
      </c>
      <c r="L51" t="e">
        <f>AD25</f>
        <v>#DIV/0!</v>
      </c>
    </row>
    <row r="52" spans="1:12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 t="s">
        <v>1048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 t="s">
        <v>1048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 t="s">
        <v>1048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 t="s">
        <v>1048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 t="s">
        <v>1048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 t="s">
        <v>1048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 t="s">
        <v>1048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 t="s">
        <v>1048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 t="s">
        <v>1048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 t="s">
        <v>1048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 t="s">
        <v>1048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 t="s">
        <v>1049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 t="s">
        <v>1049</v>
      </c>
      <c r="L64" t="e">
        <f>AS25</f>
        <v>#DIV/0!</v>
      </c>
    </row>
    <row r="65" spans="8:12" x14ac:dyDescent="0.25">
      <c r="H65" t="s">
        <v>17</v>
      </c>
      <c r="I65">
        <v>80</v>
      </c>
      <c r="J65">
        <v>10</v>
      </c>
      <c r="K65" t="s">
        <v>1049</v>
      </c>
      <c r="L65" t="e">
        <f>AT25</f>
        <v>#DIV/0!</v>
      </c>
    </row>
    <row r="66" spans="8:12" x14ac:dyDescent="0.25">
      <c r="H66" t="s">
        <v>18</v>
      </c>
      <c r="I66">
        <v>70</v>
      </c>
      <c r="J66">
        <v>50</v>
      </c>
      <c r="K66" t="s">
        <v>1049</v>
      </c>
      <c r="L66" t="e">
        <f>AU25</f>
        <v>#DIV/0!</v>
      </c>
    </row>
    <row r="67" spans="8:12" x14ac:dyDescent="0.25">
      <c r="H67" t="s">
        <v>19</v>
      </c>
      <c r="I67">
        <v>70</v>
      </c>
      <c r="J67">
        <v>30</v>
      </c>
      <c r="K67" t="s">
        <v>1049</v>
      </c>
      <c r="L67" t="e">
        <f>AV25</f>
        <v>#DIV/0!</v>
      </c>
    </row>
    <row r="68" spans="8:12" x14ac:dyDescent="0.25">
      <c r="H68" t="s">
        <v>20</v>
      </c>
      <c r="I68">
        <v>70</v>
      </c>
      <c r="J68">
        <v>10</v>
      </c>
      <c r="K68" t="s">
        <v>1049</v>
      </c>
      <c r="L68" t="e">
        <f>AW25</f>
        <v>#DIV/0!</v>
      </c>
    </row>
    <row r="69" spans="8:12" x14ac:dyDescent="0.25">
      <c r="H69" t="s">
        <v>21</v>
      </c>
      <c r="I69">
        <v>50</v>
      </c>
      <c r="J69">
        <v>50</v>
      </c>
      <c r="K69" t="s">
        <v>1049</v>
      </c>
      <c r="L69" t="e">
        <f>AX25</f>
        <v>#DIV/0!</v>
      </c>
    </row>
    <row r="70" spans="8:12" x14ac:dyDescent="0.25">
      <c r="H70" t="s">
        <v>22</v>
      </c>
      <c r="I70">
        <v>50</v>
      </c>
      <c r="J70">
        <v>30</v>
      </c>
      <c r="K70" t="s">
        <v>1049</v>
      </c>
      <c r="L70" t="e">
        <f>AY25</f>
        <v>#DIV/0!</v>
      </c>
    </row>
    <row r="71" spans="8:12" x14ac:dyDescent="0.25">
      <c r="H71" t="s">
        <v>23</v>
      </c>
      <c r="I71">
        <v>50</v>
      </c>
      <c r="J71">
        <v>10</v>
      </c>
      <c r="K71" t="s">
        <v>1049</v>
      </c>
      <c r="L71" t="e">
        <f>AZ25</f>
        <v>#DIV/0!</v>
      </c>
    </row>
    <row r="72" spans="8:12" x14ac:dyDescent="0.25">
      <c r="H72" t="s">
        <v>24</v>
      </c>
      <c r="I72">
        <v>30</v>
      </c>
      <c r="J72">
        <v>50</v>
      </c>
      <c r="K72" t="s">
        <v>1049</v>
      </c>
      <c r="L72" t="e">
        <f>BA25</f>
        <v>#DIV/0!</v>
      </c>
    </row>
    <row r="73" spans="8:12" x14ac:dyDescent="0.25">
      <c r="H73" t="s">
        <v>26</v>
      </c>
      <c r="I73">
        <v>30</v>
      </c>
      <c r="J73">
        <v>30</v>
      </c>
      <c r="K73" t="s">
        <v>1049</v>
      </c>
      <c r="L73" t="e">
        <f>BB25</f>
        <v>#DIV/0!</v>
      </c>
    </row>
    <row r="74" spans="8:12" x14ac:dyDescent="0.25">
      <c r="H74" t="s">
        <v>25</v>
      </c>
      <c r="I74">
        <v>30</v>
      </c>
      <c r="J74">
        <v>10</v>
      </c>
      <c r="K74" t="s">
        <v>1049</v>
      </c>
      <c r="L74" t="e">
        <f>BC25</f>
        <v>#DIV/0!</v>
      </c>
    </row>
    <row r="75" spans="8:12" x14ac:dyDescent="0.25">
      <c r="H75" t="s">
        <v>27</v>
      </c>
      <c r="I75">
        <v>10</v>
      </c>
      <c r="J75">
        <v>50</v>
      </c>
      <c r="K75" t="s">
        <v>1049</v>
      </c>
      <c r="L75" t="e">
        <f>BD25</f>
        <v>#DIV/0!</v>
      </c>
    </row>
    <row r="76" spans="8:12" x14ac:dyDescent="0.25">
      <c r="H76" t="s">
        <v>28</v>
      </c>
      <c r="I76">
        <v>10</v>
      </c>
      <c r="J76">
        <v>30</v>
      </c>
      <c r="K76" t="s">
        <v>1049</v>
      </c>
      <c r="L76" t="e">
        <f>BE25</f>
        <v>#DIV/0!</v>
      </c>
    </row>
    <row r="77" spans="8:12" x14ac:dyDescent="0.25">
      <c r="H77" t="s">
        <v>29</v>
      </c>
      <c r="I77">
        <v>10</v>
      </c>
      <c r="J77">
        <v>10</v>
      </c>
      <c r="K77" t="s">
        <v>1049</v>
      </c>
      <c r="L77" t="e">
        <f>BF25</f>
        <v>#DIV/0!</v>
      </c>
    </row>
    <row r="78" spans="8:12" x14ac:dyDescent="0.25">
      <c r="H78" t="s">
        <v>13</v>
      </c>
      <c r="I78">
        <v>80</v>
      </c>
      <c r="J78">
        <v>50</v>
      </c>
      <c r="K78" t="s">
        <v>1050</v>
      </c>
      <c r="L78" t="e">
        <f>BI25</f>
        <v>#DIV/0!</v>
      </c>
    </row>
    <row r="79" spans="8:12" x14ac:dyDescent="0.25">
      <c r="H79" t="s">
        <v>16</v>
      </c>
      <c r="I79">
        <v>80</v>
      </c>
      <c r="J79">
        <v>30</v>
      </c>
      <c r="K79" t="s">
        <v>1050</v>
      </c>
      <c r="L79" t="e">
        <f>BJ25</f>
        <v>#DIV/0!</v>
      </c>
    </row>
    <row r="80" spans="8:12" x14ac:dyDescent="0.25">
      <c r="H80" t="s">
        <v>17</v>
      </c>
      <c r="I80">
        <v>80</v>
      </c>
      <c r="J80">
        <v>10</v>
      </c>
      <c r="K80" t="s">
        <v>1050</v>
      </c>
      <c r="L80" t="e">
        <f>BK25</f>
        <v>#DIV/0!</v>
      </c>
    </row>
    <row r="81" spans="8:22" x14ac:dyDescent="0.25">
      <c r="H81" t="s">
        <v>18</v>
      </c>
      <c r="I81">
        <v>70</v>
      </c>
      <c r="J81">
        <v>50</v>
      </c>
      <c r="K81" t="s">
        <v>1050</v>
      </c>
      <c r="L81" t="e">
        <f>BL25</f>
        <v>#DIV/0!</v>
      </c>
    </row>
    <row r="82" spans="8:22" x14ac:dyDescent="0.25">
      <c r="H82" t="s">
        <v>19</v>
      </c>
      <c r="I82">
        <v>70</v>
      </c>
      <c r="J82">
        <v>30</v>
      </c>
      <c r="K82" t="s">
        <v>1050</v>
      </c>
      <c r="L82" t="e">
        <f>BM25</f>
        <v>#DIV/0!</v>
      </c>
    </row>
    <row r="83" spans="8:22" x14ac:dyDescent="0.25">
      <c r="H83" t="s">
        <v>20</v>
      </c>
      <c r="I83">
        <v>70</v>
      </c>
      <c r="J83">
        <v>10</v>
      </c>
      <c r="K83" t="s">
        <v>1050</v>
      </c>
      <c r="L83" t="e">
        <f>BN25</f>
        <v>#DIV/0!</v>
      </c>
    </row>
    <row r="84" spans="8:22" x14ac:dyDescent="0.25">
      <c r="H84" t="s">
        <v>21</v>
      </c>
      <c r="I84">
        <v>50</v>
      </c>
      <c r="J84">
        <v>50</v>
      </c>
      <c r="K84" t="s">
        <v>1050</v>
      </c>
      <c r="L84" t="e">
        <f>BO25</f>
        <v>#DIV/0!</v>
      </c>
    </row>
    <row r="85" spans="8:22" x14ac:dyDescent="0.25">
      <c r="H85" t="s">
        <v>22</v>
      </c>
      <c r="I85">
        <v>50</v>
      </c>
      <c r="J85">
        <v>30</v>
      </c>
      <c r="K85" t="s">
        <v>1050</v>
      </c>
      <c r="L85" t="e">
        <f>BP25</f>
        <v>#DIV/0!</v>
      </c>
    </row>
    <row r="86" spans="8:22" x14ac:dyDescent="0.25">
      <c r="H86" t="s">
        <v>23</v>
      </c>
      <c r="I86">
        <v>50</v>
      </c>
      <c r="J86">
        <v>10</v>
      </c>
      <c r="K86" t="s">
        <v>1050</v>
      </c>
      <c r="L86" t="e">
        <f>BQ25</f>
        <v>#DIV/0!</v>
      </c>
    </row>
    <row r="87" spans="8:22" x14ac:dyDescent="0.25">
      <c r="H87" t="s">
        <v>24</v>
      </c>
      <c r="I87">
        <v>30</v>
      </c>
      <c r="J87">
        <v>50</v>
      </c>
      <c r="K87" t="s">
        <v>1050</v>
      </c>
      <c r="L87" t="e">
        <f>BR25</f>
        <v>#DIV/0!</v>
      </c>
      <c r="N87" t="s">
        <v>11</v>
      </c>
      <c r="O87" t="s">
        <v>12</v>
      </c>
      <c r="P87" t="s">
        <v>15</v>
      </c>
      <c r="R87" t="s">
        <v>724</v>
      </c>
      <c r="S87" t="s">
        <v>135</v>
      </c>
      <c r="T87" t="s">
        <v>136</v>
      </c>
      <c r="V87" t="s">
        <v>138</v>
      </c>
    </row>
    <row r="88" spans="8:22" x14ac:dyDescent="0.25">
      <c r="H88" t="s">
        <v>26</v>
      </c>
      <c r="I88">
        <v>30</v>
      </c>
      <c r="J88">
        <v>30</v>
      </c>
      <c r="K88" t="s">
        <v>1050</v>
      </c>
      <c r="L88" t="e">
        <f>BS25</f>
        <v>#DIV/0!</v>
      </c>
      <c r="N88">
        <v>80</v>
      </c>
      <c r="O88">
        <v>50</v>
      </c>
      <c r="P88">
        <v>20</v>
      </c>
      <c r="R88" t="s">
        <v>1047</v>
      </c>
      <c r="S88">
        <v>1.24</v>
      </c>
      <c r="T88">
        <v>1.1599999999999999</v>
      </c>
      <c r="V88">
        <v>0</v>
      </c>
    </row>
    <row r="89" spans="8:22" x14ac:dyDescent="0.25">
      <c r="H89" t="s">
        <v>25</v>
      </c>
      <c r="I89">
        <v>30</v>
      </c>
      <c r="J89">
        <v>10</v>
      </c>
      <c r="K89" t="s">
        <v>1050</v>
      </c>
      <c r="L89" t="e">
        <f>BT25</f>
        <v>#DIV/0!</v>
      </c>
      <c r="N89">
        <v>70</v>
      </c>
      <c r="O89">
        <v>30</v>
      </c>
      <c r="R89" t="s">
        <v>1048</v>
      </c>
      <c r="S89" s="11">
        <v>1.26</v>
      </c>
      <c r="T89">
        <v>1.28</v>
      </c>
      <c r="V89">
        <v>90</v>
      </c>
    </row>
    <row r="90" spans="8:22" x14ac:dyDescent="0.25">
      <c r="H90" t="s">
        <v>27</v>
      </c>
      <c r="I90">
        <v>10</v>
      </c>
      <c r="J90">
        <v>50</v>
      </c>
      <c r="K90" t="s">
        <v>1050</v>
      </c>
      <c r="L90" t="e">
        <f>BU25</f>
        <v>#DIV/0!</v>
      </c>
      <c r="N90">
        <v>50</v>
      </c>
      <c r="O90">
        <v>10</v>
      </c>
      <c r="R90" t="s">
        <v>1049</v>
      </c>
      <c r="S90">
        <v>1.26</v>
      </c>
      <c r="T90">
        <v>1.3</v>
      </c>
    </row>
    <row r="91" spans="8:22" x14ac:dyDescent="0.25">
      <c r="H91" t="s">
        <v>28</v>
      </c>
      <c r="I91">
        <v>10</v>
      </c>
      <c r="J91">
        <v>30</v>
      </c>
      <c r="K91" t="s">
        <v>1050</v>
      </c>
      <c r="L91" t="e">
        <f>BV25</f>
        <v>#DIV/0!</v>
      </c>
      <c r="N91">
        <v>30</v>
      </c>
      <c r="R91" t="s">
        <v>1050</v>
      </c>
      <c r="S91">
        <v>1.2</v>
      </c>
      <c r="T91">
        <v>0.8</v>
      </c>
    </row>
    <row r="92" spans="8:22" x14ac:dyDescent="0.25">
      <c r="H92" t="s">
        <v>29</v>
      </c>
      <c r="I92">
        <v>10</v>
      </c>
      <c r="J92">
        <v>10</v>
      </c>
      <c r="K92" t="s">
        <v>1050</v>
      </c>
      <c r="L92" t="e">
        <f>BW25</f>
        <v>#DIV/0!</v>
      </c>
      <c r="N92">
        <v>10</v>
      </c>
      <c r="R92" t="s">
        <v>1051</v>
      </c>
      <c r="S92">
        <v>1.3</v>
      </c>
      <c r="T92">
        <v>1.34</v>
      </c>
    </row>
    <row r="93" spans="8:22" x14ac:dyDescent="0.25">
      <c r="H93" t="s">
        <v>13</v>
      </c>
      <c r="I93">
        <v>80</v>
      </c>
      <c r="J93">
        <v>50</v>
      </c>
      <c r="K93" t="s">
        <v>1051</v>
      </c>
      <c r="L93" t="e">
        <f>BZ25</f>
        <v>#DIV/0!</v>
      </c>
      <c r="R93" t="s">
        <v>1052</v>
      </c>
      <c r="S93">
        <v>1.3</v>
      </c>
      <c r="T93">
        <v>1.28</v>
      </c>
    </row>
    <row r="94" spans="8:22" x14ac:dyDescent="0.25">
      <c r="H94" t="s">
        <v>16</v>
      </c>
      <c r="I94">
        <v>80</v>
      </c>
      <c r="J94">
        <v>30</v>
      </c>
      <c r="K94" t="s">
        <v>1051</v>
      </c>
      <c r="L94" t="e">
        <f>CA25</f>
        <v>#DIV/0!</v>
      </c>
    </row>
    <row r="95" spans="8:22" x14ac:dyDescent="0.25">
      <c r="H95" t="s">
        <v>17</v>
      </c>
      <c r="I95">
        <v>80</v>
      </c>
      <c r="J95">
        <v>10</v>
      </c>
      <c r="K95" t="s">
        <v>1051</v>
      </c>
      <c r="L95" t="e">
        <f>CB25</f>
        <v>#DIV/0!</v>
      </c>
    </row>
    <row r="96" spans="8:22" x14ac:dyDescent="0.25">
      <c r="H96" t="s">
        <v>18</v>
      </c>
      <c r="I96">
        <v>70</v>
      </c>
      <c r="J96">
        <v>50</v>
      </c>
      <c r="K96" t="s">
        <v>1051</v>
      </c>
      <c r="L96" t="e">
        <f>CC25</f>
        <v>#DIV/0!</v>
      </c>
    </row>
    <row r="97" spans="8:12" x14ac:dyDescent="0.25">
      <c r="H97" t="s">
        <v>19</v>
      </c>
      <c r="I97">
        <v>70</v>
      </c>
      <c r="J97">
        <v>30</v>
      </c>
      <c r="K97" t="s">
        <v>1051</v>
      </c>
      <c r="L97" t="e">
        <f>CD25</f>
        <v>#DIV/0!</v>
      </c>
    </row>
    <row r="98" spans="8:12" x14ac:dyDescent="0.25">
      <c r="H98" t="s">
        <v>20</v>
      </c>
      <c r="I98">
        <v>70</v>
      </c>
      <c r="J98">
        <v>10</v>
      </c>
      <c r="K98" t="s">
        <v>1051</v>
      </c>
      <c r="L98" t="e">
        <f>CE25</f>
        <v>#DIV/0!</v>
      </c>
    </row>
    <row r="99" spans="8:12" x14ac:dyDescent="0.25">
      <c r="H99" t="s">
        <v>21</v>
      </c>
      <c r="I99">
        <v>50</v>
      </c>
      <c r="J99">
        <v>50</v>
      </c>
      <c r="K99" t="s">
        <v>1051</v>
      </c>
      <c r="L99" t="e">
        <f>CF25</f>
        <v>#DIV/0!</v>
      </c>
    </row>
    <row r="100" spans="8:12" x14ac:dyDescent="0.25">
      <c r="H100" t="s">
        <v>22</v>
      </c>
      <c r="I100">
        <v>50</v>
      </c>
      <c r="J100">
        <v>30</v>
      </c>
      <c r="K100" t="s">
        <v>1051</v>
      </c>
      <c r="L100" t="e">
        <f>CG25</f>
        <v>#DIV/0!</v>
      </c>
    </row>
    <row r="101" spans="8:12" x14ac:dyDescent="0.25">
      <c r="H101" t="s">
        <v>23</v>
      </c>
      <c r="I101">
        <v>50</v>
      </c>
      <c r="J101">
        <v>10</v>
      </c>
      <c r="K101" t="s">
        <v>1051</v>
      </c>
      <c r="L101" t="e">
        <f>CH25</f>
        <v>#DIV/0!</v>
      </c>
    </row>
    <row r="102" spans="8:12" x14ac:dyDescent="0.25">
      <c r="H102" t="s">
        <v>24</v>
      </c>
      <c r="I102">
        <v>30</v>
      </c>
      <c r="J102">
        <v>50</v>
      </c>
      <c r="K102" t="s">
        <v>1051</v>
      </c>
      <c r="L102" t="e">
        <f>CI25</f>
        <v>#DIV/0!</v>
      </c>
    </row>
    <row r="103" spans="8:12" x14ac:dyDescent="0.25">
      <c r="H103" t="s">
        <v>26</v>
      </c>
      <c r="I103">
        <v>30</v>
      </c>
      <c r="J103">
        <v>30</v>
      </c>
      <c r="K103" t="s">
        <v>1051</v>
      </c>
      <c r="L103" t="e">
        <f>CJ25</f>
        <v>#DIV/0!</v>
      </c>
    </row>
    <row r="104" spans="8:12" x14ac:dyDescent="0.25">
      <c r="H104" t="s">
        <v>25</v>
      </c>
      <c r="I104">
        <v>30</v>
      </c>
      <c r="J104">
        <v>10</v>
      </c>
      <c r="K104" t="s">
        <v>1051</v>
      </c>
      <c r="L104" t="e">
        <f>CK25</f>
        <v>#DIV/0!</v>
      </c>
    </row>
    <row r="105" spans="8:12" x14ac:dyDescent="0.25">
      <c r="H105" t="s">
        <v>27</v>
      </c>
      <c r="I105">
        <v>10</v>
      </c>
      <c r="J105">
        <v>50</v>
      </c>
      <c r="K105" t="s">
        <v>1051</v>
      </c>
      <c r="L105" t="e">
        <f>CL25</f>
        <v>#DIV/0!</v>
      </c>
    </row>
    <row r="106" spans="8:12" x14ac:dyDescent="0.25">
      <c r="H106" t="s">
        <v>28</v>
      </c>
      <c r="I106">
        <v>10</v>
      </c>
      <c r="J106">
        <v>30</v>
      </c>
      <c r="K106" t="s">
        <v>1051</v>
      </c>
      <c r="L106" t="e">
        <f>CM25</f>
        <v>#DIV/0!</v>
      </c>
    </row>
    <row r="107" spans="8:12" x14ac:dyDescent="0.25">
      <c r="H107" t="s">
        <v>29</v>
      </c>
      <c r="I107">
        <v>10</v>
      </c>
      <c r="J107">
        <v>10</v>
      </c>
      <c r="K107" t="s">
        <v>1051</v>
      </c>
      <c r="L107" t="e">
        <f>CN25</f>
        <v>#DIV/0!</v>
      </c>
    </row>
    <row r="108" spans="8:12" x14ac:dyDescent="0.25">
      <c r="H108" t="s">
        <v>13</v>
      </c>
      <c r="I108">
        <v>80</v>
      </c>
      <c r="J108">
        <v>50</v>
      </c>
      <c r="K108" t="s">
        <v>1052</v>
      </c>
      <c r="L108" t="e">
        <f>CQ25</f>
        <v>#DIV/0!</v>
      </c>
    </row>
    <row r="109" spans="8:12" x14ac:dyDescent="0.25">
      <c r="H109" t="s">
        <v>16</v>
      </c>
      <c r="I109">
        <v>80</v>
      </c>
      <c r="J109">
        <v>30</v>
      </c>
      <c r="K109" t="s">
        <v>1052</v>
      </c>
      <c r="L109" t="e">
        <f>CR25</f>
        <v>#DIV/0!</v>
      </c>
    </row>
    <row r="110" spans="8:12" x14ac:dyDescent="0.25">
      <c r="H110" t="s">
        <v>17</v>
      </c>
      <c r="I110">
        <v>80</v>
      </c>
      <c r="J110">
        <v>10</v>
      </c>
      <c r="K110" t="s">
        <v>1052</v>
      </c>
      <c r="L110" t="e">
        <f>CS25</f>
        <v>#DIV/0!</v>
      </c>
    </row>
    <row r="111" spans="8:12" x14ac:dyDescent="0.25">
      <c r="H111" t="s">
        <v>18</v>
      </c>
      <c r="I111">
        <v>70</v>
      </c>
      <c r="J111">
        <v>50</v>
      </c>
      <c r="K111" t="s">
        <v>1052</v>
      </c>
      <c r="L111" t="e">
        <f>CT25</f>
        <v>#DIV/0!</v>
      </c>
    </row>
    <row r="112" spans="8:12" x14ac:dyDescent="0.25">
      <c r="H112" t="s">
        <v>19</v>
      </c>
      <c r="I112">
        <v>70</v>
      </c>
      <c r="J112">
        <v>30</v>
      </c>
      <c r="K112" t="s">
        <v>1052</v>
      </c>
      <c r="L112" t="e">
        <f>CU25</f>
        <v>#DIV/0!</v>
      </c>
    </row>
    <row r="113" spans="8:12" x14ac:dyDescent="0.25">
      <c r="H113" t="s">
        <v>20</v>
      </c>
      <c r="I113">
        <v>70</v>
      </c>
      <c r="J113">
        <v>10</v>
      </c>
      <c r="K113" t="s">
        <v>1052</v>
      </c>
      <c r="L113" t="e">
        <f>CV25</f>
        <v>#DIV/0!</v>
      </c>
    </row>
    <row r="114" spans="8:12" x14ac:dyDescent="0.25">
      <c r="H114" t="s">
        <v>21</v>
      </c>
      <c r="I114">
        <v>50</v>
      </c>
      <c r="J114">
        <v>50</v>
      </c>
      <c r="K114" t="s">
        <v>1052</v>
      </c>
      <c r="L114" t="e">
        <f>CW25</f>
        <v>#DIV/0!</v>
      </c>
    </row>
    <row r="115" spans="8:12" x14ac:dyDescent="0.25">
      <c r="H115" t="s">
        <v>22</v>
      </c>
      <c r="I115">
        <v>50</v>
      </c>
      <c r="J115">
        <v>30</v>
      </c>
      <c r="K115" t="s">
        <v>1052</v>
      </c>
      <c r="L115" t="e">
        <f>CX25</f>
        <v>#DIV/0!</v>
      </c>
    </row>
    <row r="116" spans="8:12" x14ac:dyDescent="0.25">
      <c r="H116" t="s">
        <v>23</v>
      </c>
      <c r="I116">
        <v>50</v>
      </c>
      <c r="J116">
        <v>10</v>
      </c>
      <c r="K116" t="s">
        <v>1052</v>
      </c>
      <c r="L116" t="e">
        <f>CY25</f>
        <v>#DIV/0!</v>
      </c>
    </row>
    <row r="117" spans="8:12" x14ac:dyDescent="0.25">
      <c r="H117" t="s">
        <v>24</v>
      </c>
      <c r="I117">
        <v>30</v>
      </c>
      <c r="J117">
        <v>50</v>
      </c>
      <c r="K117" t="s">
        <v>1052</v>
      </c>
      <c r="L117" t="e">
        <f>CZ25</f>
        <v>#DIV/0!</v>
      </c>
    </row>
    <row r="118" spans="8:12" x14ac:dyDescent="0.25">
      <c r="H118" t="s">
        <v>26</v>
      </c>
      <c r="I118">
        <v>30</v>
      </c>
      <c r="J118">
        <v>30</v>
      </c>
      <c r="K118" t="s">
        <v>1052</v>
      </c>
      <c r="L118" t="e">
        <f>DA25</f>
        <v>#DIV/0!</v>
      </c>
    </row>
    <row r="119" spans="8:12" x14ac:dyDescent="0.25">
      <c r="H119" t="s">
        <v>25</v>
      </c>
      <c r="I119">
        <v>30</v>
      </c>
      <c r="J119">
        <v>10</v>
      </c>
      <c r="K119" t="s">
        <v>1052</v>
      </c>
      <c r="L119" t="e">
        <f>DB25</f>
        <v>#DIV/0!</v>
      </c>
    </row>
    <row r="120" spans="8:12" x14ac:dyDescent="0.25">
      <c r="H120" t="s">
        <v>27</v>
      </c>
      <c r="I120">
        <v>10</v>
      </c>
      <c r="J120">
        <v>50</v>
      </c>
      <c r="K120" t="s">
        <v>1052</v>
      </c>
      <c r="L120" t="e">
        <f>DC25</f>
        <v>#DIV/0!</v>
      </c>
    </row>
    <row r="121" spans="8:12" x14ac:dyDescent="0.25">
      <c r="H121" t="s">
        <v>28</v>
      </c>
      <c r="I121">
        <v>10</v>
      </c>
      <c r="J121">
        <v>30</v>
      </c>
      <c r="K121" t="s">
        <v>1052</v>
      </c>
      <c r="L121" t="e">
        <f>DD25</f>
        <v>#DIV/0!</v>
      </c>
    </row>
    <row r="122" spans="8:12" x14ac:dyDescent="0.25">
      <c r="H122" t="s">
        <v>29</v>
      </c>
      <c r="I122">
        <v>10</v>
      </c>
      <c r="J122">
        <v>10</v>
      </c>
      <c r="K122" t="s">
        <v>1052</v>
      </c>
      <c r="L122" t="e">
        <f>DE25</f>
        <v>#DIV/0!</v>
      </c>
    </row>
    <row r="125" spans="8:12" x14ac:dyDescent="0.25">
      <c r="I125" t="s">
        <v>107</v>
      </c>
      <c r="J125" t="s">
        <v>30</v>
      </c>
      <c r="K125" t="s">
        <v>31</v>
      </c>
    </row>
    <row r="126" spans="8:12" x14ac:dyDescent="0.25">
      <c r="I126" t="s">
        <v>813</v>
      </c>
      <c r="J126" s="18">
        <v>1248.4693295099996</v>
      </c>
      <c r="K126" s="18">
        <v>10</v>
      </c>
    </row>
    <row r="127" spans="8:12" x14ac:dyDescent="0.25">
      <c r="I127" t="s">
        <v>814</v>
      </c>
      <c r="J127" s="18">
        <v>2232.1530776317372</v>
      </c>
      <c r="K127" s="18">
        <v>18.100000000000001</v>
      </c>
    </row>
    <row r="128" spans="8:12" x14ac:dyDescent="0.25">
      <c r="I128" t="s">
        <v>815</v>
      </c>
      <c r="J128" s="18">
        <v>3275.7450430379999</v>
      </c>
      <c r="K128" s="18">
        <v>26</v>
      </c>
    </row>
    <row r="129" spans="9:11" x14ac:dyDescent="0.25">
      <c r="I129" t="s">
        <v>816</v>
      </c>
      <c r="J129" s="18">
        <v>4270.353936345</v>
      </c>
      <c r="K129" s="18">
        <v>35</v>
      </c>
    </row>
    <row r="130" spans="9:11" x14ac:dyDescent="0.25">
      <c r="I130" t="s">
        <v>817</v>
      </c>
      <c r="J130" s="18">
        <v>5578.4382936293996</v>
      </c>
      <c r="K130" s="18">
        <v>45.8</v>
      </c>
    </row>
    <row r="131" spans="9:11" x14ac:dyDescent="0.25">
      <c r="I131" t="s">
        <v>818</v>
      </c>
      <c r="J131" s="18">
        <v>2296.6103735973711</v>
      </c>
      <c r="K131" s="18">
        <v>18.239999999999998</v>
      </c>
    </row>
    <row r="132" spans="9:11" x14ac:dyDescent="0.25">
      <c r="I132" t="s">
        <v>819</v>
      </c>
      <c r="J132" s="18">
        <v>4403.258542120001</v>
      </c>
      <c r="K132" s="18">
        <v>34</v>
      </c>
    </row>
    <row r="133" spans="9:11" x14ac:dyDescent="0.25">
      <c r="I133" t="s">
        <v>820</v>
      </c>
      <c r="J133" s="18">
        <v>7077.7388944349977</v>
      </c>
      <c r="K133" s="18">
        <v>55</v>
      </c>
    </row>
    <row r="134" spans="9:11" x14ac:dyDescent="0.25">
      <c r="I134" t="s">
        <v>821</v>
      </c>
      <c r="J134" s="18">
        <v>8428.7020578947995</v>
      </c>
      <c r="K134" s="18">
        <v>66</v>
      </c>
    </row>
    <row r="135" spans="9:11" x14ac:dyDescent="0.25">
      <c r="I135" t="s">
        <v>822</v>
      </c>
      <c r="J135" s="18">
        <v>10478.040058292128</v>
      </c>
      <c r="K135" s="18">
        <v>87.3</v>
      </c>
    </row>
    <row r="136" spans="9:11" x14ac:dyDescent="0.25">
      <c r="I136" t="s">
        <v>823</v>
      </c>
      <c r="J136" s="18">
        <v>4082.2689115912494</v>
      </c>
      <c r="K136" s="18">
        <v>30</v>
      </c>
    </row>
    <row r="137" spans="9:11" x14ac:dyDescent="0.25">
      <c r="I137" t="s">
        <v>824</v>
      </c>
      <c r="J137" s="18">
        <v>5987.0615284399482</v>
      </c>
      <c r="K137" s="18">
        <v>46</v>
      </c>
    </row>
    <row r="138" spans="9:11" x14ac:dyDescent="0.25">
      <c r="I138" t="s">
        <v>825</v>
      </c>
      <c r="J138" s="18">
        <v>8890.0018540863748</v>
      </c>
      <c r="K138" s="18">
        <v>66</v>
      </c>
    </row>
    <row r="139" spans="9:11" x14ac:dyDescent="0.25">
      <c r="I139" t="s">
        <v>826</v>
      </c>
      <c r="J139" s="18">
        <v>11175.7397265774</v>
      </c>
      <c r="K139" s="18">
        <v>82</v>
      </c>
    </row>
    <row r="140" spans="9:11" x14ac:dyDescent="0.25">
      <c r="I140" t="s">
        <v>827</v>
      </c>
      <c r="J140" s="18">
        <v>13129.404711749998</v>
      </c>
      <c r="K140" s="18">
        <v>100</v>
      </c>
    </row>
    <row r="141" spans="9:11" x14ac:dyDescent="0.25">
      <c r="I141" t="s">
        <v>828</v>
      </c>
      <c r="J141" s="18">
        <v>17058.8859776307</v>
      </c>
      <c r="K141" s="18">
        <v>134</v>
      </c>
    </row>
    <row r="142" spans="9:11" x14ac:dyDescent="0.25">
      <c r="I142" t="s">
        <v>829</v>
      </c>
      <c r="J142" s="18">
        <v>20900.644723820697</v>
      </c>
      <c r="K142" s="18">
        <v>174</v>
      </c>
    </row>
    <row r="143" spans="9:11" x14ac:dyDescent="0.25">
      <c r="I143" t="s">
        <v>830</v>
      </c>
      <c r="J143" s="18">
        <v>1304.4765095134544</v>
      </c>
      <c r="K143" s="18">
        <v>10</v>
      </c>
    </row>
    <row r="144" spans="9:11" x14ac:dyDescent="0.25">
      <c r="I144" t="s">
        <v>831</v>
      </c>
      <c r="J144" s="18">
        <v>2321.9618096349545</v>
      </c>
      <c r="K144" s="18">
        <v>18</v>
      </c>
    </row>
    <row r="145" spans="9:11" x14ac:dyDescent="0.25">
      <c r="I145" t="s">
        <v>832</v>
      </c>
      <c r="J145" s="18">
        <v>3422.697185100521</v>
      </c>
      <c r="K145" s="18">
        <v>26</v>
      </c>
    </row>
    <row r="146" spans="9:11" x14ac:dyDescent="0.25">
      <c r="I146" t="s">
        <v>833</v>
      </c>
      <c r="J146" s="18">
        <v>4461.924907243585</v>
      </c>
      <c r="K146" s="18">
        <v>35</v>
      </c>
    </row>
    <row r="147" spans="9:11" x14ac:dyDescent="0.25">
      <c r="I147" t="s">
        <v>834</v>
      </c>
      <c r="J147" s="18">
        <v>5848.255206189132</v>
      </c>
      <c r="K147" s="18">
        <v>46</v>
      </c>
    </row>
    <row r="148" spans="9:11" x14ac:dyDescent="0.25">
      <c r="I148" t="s">
        <v>835</v>
      </c>
      <c r="J148" s="18">
        <v>2373.664069815793</v>
      </c>
      <c r="K148" s="18">
        <v>18</v>
      </c>
    </row>
    <row r="149" spans="9:11" x14ac:dyDescent="0.25">
      <c r="I149" t="s">
        <v>836</v>
      </c>
      <c r="J149" s="18">
        <v>4600.7917036811714</v>
      </c>
      <c r="K149" s="18">
        <v>34</v>
      </c>
    </row>
    <row r="150" spans="9:11" x14ac:dyDescent="0.25">
      <c r="I150" t="s">
        <v>837</v>
      </c>
      <c r="J150" s="18">
        <v>7395.2510566549981</v>
      </c>
      <c r="K150" s="18">
        <v>55</v>
      </c>
    </row>
    <row r="151" spans="9:11" x14ac:dyDescent="0.25">
      <c r="I151" t="s">
        <v>838</v>
      </c>
      <c r="J151" s="18">
        <v>8806.8193429523981</v>
      </c>
      <c r="K151" s="18">
        <v>66</v>
      </c>
    </row>
    <row r="152" spans="9:11" x14ac:dyDescent="0.25">
      <c r="I152" t="s">
        <v>839</v>
      </c>
      <c r="J152" s="18">
        <v>10948.092034545723</v>
      </c>
      <c r="K152" s="18">
        <v>87.3</v>
      </c>
    </row>
    <row r="153" spans="9:11" x14ac:dyDescent="0.25">
      <c r="I153" s="16" t="s">
        <v>840</v>
      </c>
      <c r="J153" s="19">
        <v>4265.2318423725001</v>
      </c>
      <c r="K153" s="19">
        <v>30</v>
      </c>
    </row>
    <row r="154" spans="9:11" x14ac:dyDescent="0.25">
      <c r="I154" s="16" t="s">
        <v>841</v>
      </c>
      <c r="J154" s="19">
        <v>6255.6451650493482</v>
      </c>
      <c r="K154" s="19">
        <v>46</v>
      </c>
    </row>
    <row r="155" spans="9:11" x14ac:dyDescent="0.25">
      <c r="I155" s="16" t="s">
        <v>842</v>
      </c>
      <c r="J155" s="19">
        <v>9288.8133605478761</v>
      </c>
      <c r="K155" s="19">
        <v>66</v>
      </c>
    </row>
    <row r="156" spans="9:11" x14ac:dyDescent="0.25">
      <c r="I156" s="16" t="s">
        <v>843</v>
      </c>
      <c r="J156" s="19">
        <v>11677.090982666199</v>
      </c>
      <c r="K156" s="19">
        <v>82</v>
      </c>
    </row>
    <row r="157" spans="9:11" x14ac:dyDescent="0.25">
      <c r="I157" s="16" t="s">
        <v>844</v>
      </c>
      <c r="J157" s="19">
        <v>13718.398702749999</v>
      </c>
      <c r="K157" s="19">
        <v>100</v>
      </c>
    </row>
    <row r="158" spans="9:11" x14ac:dyDescent="0.25">
      <c r="I158" s="16" t="s">
        <v>845</v>
      </c>
      <c r="J158" s="19">
        <v>17824.159160579096</v>
      </c>
      <c r="K158" s="19">
        <v>134</v>
      </c>
    </row>
    <row r="159" spans="9:11" x14ac:dyDescent="0.25">
      <c r="I159" s="16" t="s">
        <v>846</v>
      </c>
      <c r="J159" s="19">
        <v>21838.261807049101</v>
      </c>
      <c r="K159" s="19">
        <v>174</v>
      </c>
    </row>
    <row r="160" spans="9:11" x14ac:dyDescent="0.25">
      <c r="I160" s="16" t="s">
        <v>847</v>
      </c>
      <c r="J160" s="19">
        <v>2359.7430566808766</v>
      </c>
      <c r="K160" s="19">
        <v>18</v>
      </c>
    </row>
    <row r="161" spans="9:11" x14ac:dyDescent="0.25">
      <c r="I161" s="16" t="s">
        <v>848</v>
      </c>
      <c r="J161" s="19">
        <v>4573.8090810967842</v>
      </c>
      <c r="K161" s="19">
        <v>34</v>
      </c>
    </row>
    <row r="162" spans="9:11" x14ac:dyDescent="0.25">
      <c r="I162" s="16" t="s">
        <v>849</v>
      </c>
      <c r="J162" s="19">
        <v>7351.8795499599973</v>
      </c>
      <c r="K162" s="19">
        <v>55</v>
      </c>
    </row>
    <row r="163" spans="9:11" x14ac:dyDescent="0.25">
      <c r="I163" s="16" t="s">
        <v>850</v>
      </c>
      <c r="J163" s="19">
        <v>8755.1693014367993</v>
      </c>
      <c r="K163" s="19">
        <v>66</v>
      </c>
    </row>
    <row r="164" spans="9:11" x14ac:dyDescent="0.25">
      <c r="I164" s="16" t="s">
        <v>851</v>
      </c>
      <c r="J164" s="19">
        <v>10883.883903768816</v>
      </c>
      <c r="K164" s="19">
        <v>87.3</v>
      </c>
    </row>
    <row r="165" spans="9:11" x14ac:dyDescent="0.25">
      <c r="I165" s="16" t="s">
        <v>852</v>
      </c>
      <c r="J165" s="19">
        <v>1312.2713232252756</v>
      </c>
      <c r="K165" s="19">
        <v>10</v>
      </c>
    </row>
    <row r="166" spans="9:11" x14ac:dyDescent="0.25">
      <c r="I166" s="16" t="s">
        <v>853</v>
      </c>
      <c r="J166" s="19">
        <v>2346.2254166666808</v>
      </c>
      <c r="K166" s="19">
        <v>18.100000000000001</v>
      </c>
    </row>
    <row r="167" spans="9:11" x14ac:dyDescent="0.25">
      <c r="I167" s="16" t="s">
        <v>854</v>
      </c>
      <c r="J167" s="19">
        <v>3443.1492873463358</v>
      </c>
      <c r="K167" s="19">
        <v>26</v>
      </c>
    </row>
    <row r="168" spans="9:11" x14ac:dyDescent="0.25">
      <c r="I168" s="16" t="s">
        <v>855</v>
      </c>
      <c r="J168" s="19">
        <v>4488.5868464923569</v>
      </c>
      <c r="K168" s="19">
        <v>35</v>
      </c>
    </row>
    <row r="169" spans="9:11" x14ac:dyDescent="0.25">
      <c r="I169" s="16" t="s">
        <v>856</v>
      </c>
      <c r="J169" s="19">
        <v>5863.5197742380478</v>
      </c>
      <c r="K169" s="19">
        <v>45.8</v>
      </c>
    </row>
    <row r="170" spans="9:11" x14ac:dyDescent="0.25">
      <c r="I170" s="16" t="s">
        <v>857</v>
      </c>
      <c r="J170" s="19">
        <v>2387.8477435758964</v>
      </c>
      <c r="K170" s="19">
        <v>18</v>
      </c>
    </row>
    <row r="171" spans="9:11" x14ac:dyDescent="0.25">
      <c r="I171" s="16" t="s">
        <v>858</v>
      </c>
      <c r="J171" s="19">
        <v>4628.2834323520565</v>
      </c>
      <c r="K171" s="19">
        <v>34</v>
      </c>
    </row>
    <row r="172" spans="9:11" x14ac:dyDescent="0.25">
      <c r="I172" s="16" t="s">
        <v>859</v>
      </c>
      <c r="J172" s="19">
        <v>7439.4408936649997</v>
      </c>
      <c r="K172" s="19">
        <v>55</v>
      </c>
    </row>
    <row r="173" spans="9:11" x14ac:dyDescent="0.25">
      <c r="I173" s="16" t="s">
        <v>860</v>
      </c>
      <c r="J173" s="19">
        <v>8859.4439135531993</v>
      </c>
      <c r="K173" s="19">
        <v>66</v>
      </c>
    </row>
    <row r="174" spans="9:11" x14ac:dyDescent="0.25">
      <c r="I174" s="16" t="s">
        <v>861</v>
      </c>
      <c r="J174" s="19">
        <v>11013.511639488237</v>
      </c>
      <c r="K174" s="19">
        <v>87.3</v>
      </c>
    </row>
    <row r="175" spans="9:11" x14ac:dyDescent="0.25">
      <c r="I175" s="16" t="s">
        <v>940</v>
      </c>
      <c r="J175" s="19">
        <v>4291.0906032562498</v>
      </c>
      <c r="K175" s="19">
        <v>30</v>
      </c>
    </row>
    <row r="176" spans="9:11" x14ac:dyDescent="0.25">
      <c r="I176" s="16" t="s">
        <v>862</v>
      </c>
      <c r="J176" s="19">
        <v>6293.0253618970492</v>
      </c>
      <c r="K176" s="19">
        <v>46</v>
      </c>
    </row>
    <row r="177" spans="9:11" x14ac:dyDescent="0.25">
      <c r="I177" s="16" t="s">
        <v>863</v>
      </c>
      <c r="J177" s="19">
        <v>9344.3180547461252</v>
      </c>
      <c r="K177" s="19">
        <v>66</v>
      </c>
    </row>
    <row r="178" spans="9:11" x14ac:dyDescent="0.25">
      <c r="I178" s="16" t="s">
        <v>864</v>
      </c>
      <c r="J178" s="19">
        <v>11746.8666729466</v>
      </c>
      <c r="K178" s="19">
        <v>82</v>
      </c>
    </row>
    <row r="179" spans="9:11" x14ac:dyDescent="0.25">
      <c r="I179" s="16" t="s">
        <v>865</v>
      </c>
      <c r="J179" s="19">
        <v>13800.37209325</v>
      </c>
      <c r="K179" s="19">
        <v>100</v>
      </c>
    </row>
    <row r="180" spans="9:11" x14ac:dyDescent="0.25">
      <c r="I180" s="16" t="s">
        <v>866</v>
      </c>
      <c r="J180" s="19">
        <v>17930.666253051299</v>
      </c>
      <c r="K180" s="19">
        <v>134</v>
      </c>
    </row>
    <row r="181" spans="9:11" x14ac:dyDescent="0.25">
      <c r="I181" s="16" t="s">
        <v>867</v>
      </c>
      <c r="J181" s="19">
        <v>21968.754906261303</v>
      </c>
      <c r="K181" s="19">
        <v>174</v>
      </c>
    </row>
    <row r="182" spans="9:11" x14ac:dyDescent="0.25">
      <c r="I182" s="16" t="s">
        <v>868</v>
      </c>
      <c r="J182" s="19">
        <v>1314.1478524521951</v>
      </c>
      <c r="K182" s="19">
        <v>10</v>
      </c>
    </row>
    <row r="183" spans="9:11" x14ac:dyDescent="0.25">
      <c r="I183" s="16" t="s">
        <v>869</v>
      </c>
      <c r="J183" s="19">
        <v>2339.1767527848424</v>
      </c>
      <c r="K183" s="19">
        <v>18</v>
      </c>
    </row>
    <row r="184" spans="9:11" x14ac:dyDescent="0.25">
      <c r="I184" s="16" t="s">
        <v>870</v>
      </c>
      <c r="J184" s="19">
        <v>3448.0729415906976</v>
      </c>
      <c r="K184" s="19">
        <v>26</v>
      </c>
    </row>
    <row r="185" spans="9:11" x14ac:dyDescent="0.25">
      <c r="I185" s="16" t="s">
        <v>871</v>
      </c>
      <c r="J185" s="19">
        <v>4495.0054614966893</v>
      </c>
      <c r="K185" s="19">
        <v>35</v>
      </c>
    </row>
    <row r="186" spans="9:11" x14ac:dyDescent="0.25">
      <c r="I186" s="16" t="s">
        <v>872</v>
      </c>
      <c r="J186" s="19">
        <v>5891.613964495501</v>
      </c>
      <c r="K186" s="19">
        <v>46</v>
      </c>
    </row>
    <row r="187" spans="9:11" x14ac:dyDescent="0.25">
      <c r="I187" s="16" t="s">
        <v>939</v>
      </c>
      <c r="J187" s="19">
        <v>2391.2623317033285</v>
      </c>
      <c r="K187" s="19">
        <v>18</v>
      </c>
    </row>
    <row r="188" spans="9:11" x14ac:dyDescent="0.25">
      <c r="I188" s="16" t="s">
        <v>873</v>
      </c>
      <c r="J188" s="19">
        <v>4634.9018114765277</v>
      </c>
      <c r="K188" s="19">
        <v>34</v>
      </c>
    </row>
    <row r="189" spans="9:11" x14ac:dyDescent="0.25">
      <c r="I189" s="16" t="s">
        <v>874</v>
      </c>
      <c r="J189" s="19">
        <v>7450.0791877599977</v>
      </c>
      <c r="K189" s="19">
        <v>55</v>
      </c>
    </row>
    <row r="190" spans="9:11" x14ac:dyDescent="0.25">
      <c r="I190" s="16" t="s">
        <v>875</v>
      </c>
      <c r="J190" s="19">
        <v>8872.1127916608002</v>
      </c>
      <c r="K190" s="19">
        <v>66</v>
      </c>
    </row>
    <row r="191" spans="9:11" x14ac:dyDescent="0.25">
      <c r="I191" s="16" t="s">
        <v>876</v>
      </c>
      <c r="J191" s="19">
        <v>11029.260803641062</v>
      </c>
      <c r="K191" s="19">
        <v>87.3</v>
      </c>
    </row>
    <row r="192" spans="9:11" x14ac:dyDescent="0.25">
      <c r="I192" s="16" t="s">
        <v>877</v>
      </c>
      <c r="J192" s="19">
        <v>4296.94541704125</v>
      </c>
      <c r="K192" s="19">
        <v>30</v>
      </c>
    </row>
    <row r="193" spans="9:11" x14ac:dyDescent="0.25">
      <c r="I193" s="16" t="s">
        <v>878</v>
      </c>
      <c r="J193" s="19">
        <v>6302.0242981751981</v>
      </c>
      <c r="K193" s="19">
        <v>46</v>
      </c>
    </row>
    <row r="194" spans="9:11" x14ac:dyDescent="0.25">
      <c r="I194" s="16" t="s">
        <v>879</v>
      </c>
      <c r="J194" s="19">
        <v>9357.6802959420002</v>
      </c>
      <c r="K194" s="19">
        <v>66</v>
      </c>
    </row>
    <row r="195" spans="9:11" x14ac:dyDescent="0.25">
      <c r="I195" s="16" t="s">
        <v>880</v>
      </c>
      <c r="J195" s="19">
        <v>11763.664524310398</v>
      </c>
      <c r="K195" s="19">
        <v>82</v>
      </c>
    </row>
    <row r="196" spans="9:11" x14ac:dyDescent="0.25">
      <c r="I196" s="16" t="s">
        <v>881</v>
      </c>
      <c r="J196" s="19">
        <v>13820.106427999999</v>
      </c>
      <c r="K196" s="19">
        <v>100</v>
      </c>
    </row>
    <row r="197" spans="9:11" x14ac:dyDescent="0.25">
      <c r="I197" s="16" t="s">
        <v>882</v>
      </c>
      <c r="J197" s="19">
        <v>17956.306849387198</v>
      </c>
      <c r="K197" s="19">
        <v>134</v>
      </c>
    </row>
    <row r="198" spans="9:11" x14ac:dyDescent="0.25">
      <c r="I198" s="16" t="s">
        <v>883</v>
      </c>
      <c r="J198" s="19">
        <v>22000.169911627199</v>
      </c>
      <c r="K198" s="19">
        <v>174</v>
      </c>
    </row>
    <row r="199" spans="9:11" x14ac:dyDescent="0.25">
      <c r="I199" s="16" t="s">
        <v>884</v>
      </c>
      <c r="J199" s="19">
        <v>2404.0013720249026</v>
      </c>
      <c r="K199" s="19">
        <v>18</v>
      </c>
    </row>
    <row r="200" spans="9:11" x14ac:dyDescent="0.25">
      <c r="I200" s="16" t="s">
        <v>885</v>
      </c>
      <c r="J200" s="19">
        <v>4659.5934566716742</v>
      </c>
      <c r="K200" s="19">
        <v>34</v>
      </c>
    </row>
    <row r="201" spans="9:11" x14ac:dyDescent="0.25">
      <c r="I201" s="16" t="s">
        <v>886</v>
      </c>
      <c r="J201" s="19">
        <v>7489.7682080374971</v>
      </c>
      <c r="K201" s="19">
        <v>55</v>
      </c>
    </row>
    <row r="202" spans="9:11" x14ac:dyDescent="0.25">
      <c r="I202" s="16" t="s">
        <v>887</v>
      </c>
      <c r="J202" s="19">
        <v>8919.377452292998</v>
      </c>
      <c r="K202" s="19">
        <v>66</v>
      </c>
    </row>
    <row r="203" spans="9:11" x14ac:dyDescent="0.25">
      <c r="I203" s="16" t="s">
        <v>888</v>
      </c>
      <c r="J203" s="19">
        <v>11088.017300672762</v>
      </c>
      <c r="K203" s="19">
        <v>87.3</v>
      </c>
    </row>
    <row r="204" spans="9:11" x14ac:dyDescent="0.25">
      <c r="I204" s="16" t="s">
        <v>889</v>
      </c>
      <c r="J204" s="19">
        <v>1289.7410428822311</v>
      </c>
      <c r="K204" s="19">
        <v>10</v>
      </c>
    </row>
    <row r="205" spans="9:11" x14ac:dyDescent="0.25">
      <c r="I205" s="16" t="s">
        <v>890</v>
      </c>
      <c r="J205" s="19">
        <v>2305.9432620162574</v>
      </c>
      <c r="K205" s="19">
        <v>18.100000000000001</v>
      </c>
    </row>
    <row r="206" spans="9:11" x14ac:dyDescent="0.25">
      <c r="I206" s="16" t="s">
        <v>891</v>
      </c>
      <c r="J206" s="19">
        <v>3384.0341353698345</v>
      </c>
      <c r="K206" s="19">
        <v>26</v>
      </c>
    </row>
    <row r="207" spans="9:11" x14ac:dyDescent="0.25">
      <c r="I207" s="16" t="s">
        <v>892</v>
      </c>
      <c r="J207" s="19">
        <v>4411.5226615134297</v>
      </c>
      <c r="K207" s="19">
        <v>35</v>
      </c>
    </row>
    <row r="208" spans="9:11" x14ac:dyDescent="0.25">
      <c r="I208" s="16" t="s">
        <v>893</v>
      </c>
      <c r="J208" s="19">
        <v>5762.8494768898754</v>
      </c>
      <c r="K208" s="19">
        <v>45.8</v>
      </c>
    </row>
    <row r="209" spans="9:11" x14ac:dyDescent="0.25">
      <c r="I209" s="16" t="s">
        <v>894</v>
      </c>
      <c r="J209" s="19">
        <v>2372.5313776832345</v>
      </c>
      <c r="K209" s="19">
        <v>18.239999999999998</v>
      </c>
    </row>
    <row r="210" spans="9:11" x14ac:dyDescent="0.25">
      <c r="I210" s="16" t="s">
        <v>895</v>
      </c>
      <c r="J210" s="19">
        <v>4548.8208079752076</v>
      </c>
      <c r="K210" s="19">
        <v>34</v>
      </c>
    </row>
    <row r="211" spans="9:11" x14ac:dyDescent="0.25">
      <c r="I211" s="16" t="s">
        <v>896</v>
      </c>
      <c r="J211" s="19">
        <v>7311.7137339204528</v>
      </c>
      <c r="K211" s="19">
        <v>55</v>
      </c>
    </row>
    <row r="212" spans="9:11" x14ac:dyDescent="0.25">
      <c r="I212" s="16" t="s">
        <v>897</v>
      </c>
      <c r="J212" s="19">
        <v>8707.3368366681807</v>
      </c>
      <c r="K212" s="19">
        <v>66</v>
      </c>
    </row>
    <row r="213" spans="9:11" x14ac:dyDescent="0.25">
      <c r="I213" s="16" t="s">
        <v>898</v>
      </c>
      <c r="J213" s="19">
        <v>10824.421547822447</v>
      </c>
      <c r="K213" s="19">
        <v>87.3</v>
      </c>
    </row>
    <row r="214" spans="9:11" x14ac:dyDescent="0.25">
      <c r="I214" s="16" t="s">
        <v>899</v>
      </c>
      <c r="J214" s="19">
        <v>4217.2199499909602</v>
      </c>
      <c r="K214" s="19">
        <v>30</v>
      </c>
    </row>
    <row r="215" spans="9:11" x14ac:dyDescent="0.25">
      <c r="I215" s="16" t="s">
        <v>900</v>
      </c>
      <c r="J215" s="19">
        <v>6184.980917809864</v>
      </c>
      <c r="K215" s="19">
        <v>46</v>
      </c>
    </row>
    <row r="216" spans="9:11" x14ac:dyDescent="0.25">
      <c r="I216" s="16" t="s">
        <v>901</v>
      </c>
      <c r="J216" s="19">
        <v>9183.8862128991477</v>
      </c>
      <c r="K216" s="19">
        <v>66</v>
      </c>
    </row>
    <row r="217" spans="9:11" x14ac:dyDescent="0.25">
      <c r="I217" s="16" t="s">
        <v>902</v>
      </c>
      <c r="J217" s="19">
        <v>11545.185667951859</v>
      </c>
      <c r="K217" s="19">
        <v>82</v>
      </c>
    </row>
    <row r="218" spans="9:11" x14ac:dyDescent="0.25">
      <c r="I218" s="16" t="s">
        <v>903</v>
      </c>
      <c r="J218" s="19">
        <v>13563.434619576445</v>
      </c>
      <c r="K218" s="19">
        <v>100</v>
      </c>
    </row>
    <row r="219" spans="9:11" x14ac:dyDescent="0.25">
      <c r="I219" s="16" t="s">
        <v>904</v>
      </c>
      <c r="J219" s="19">
        <v>17622.816092593697</v>
      </c>
      <c r="K219" s="19">
        <v>134</v>
      </c>
    </row>
    <row r="220" spans="9:11" x14ac:dyDescent="0.25">
      <c r="I220" s="16" t="s">
        <v>905</v>
      </c>
      <c r="J220" s="19">
        <v>21591.575127913944</v>
      </c>
      <c r="K220" s="19">
        <v>174</v>
      </c>
    </row>
    <row r="221" spans="9:11" x14ac:dyDescent="0.25">
      <c r="I221" s="16" t="s">
        <v>906</v>
      </c>
      <c r="J221" s="19">
        <v>1347.5996999105935</v>
      </c>
      <c r="K221" s="19">
        <v>10</v>
      </c>
    </row>
    <row r="222" spans="9:11" x14ac:dyDescent="0.25">
      <c r="I222" s="16" t="s">
        <v>907</v>
      </c>
      <c r="J222" s="19">
        <v>2398.7208777220603</v>
      </c>
      <c r="K222" s="19">
        <v>18</v>
      </c>
    </row>
    <row r="223" spans="9:11" x14ac:dyDescent="0.25">
      <c r="I223" s="16" t="s">
        <v>908</v>
      </c>
      <c r="J223" s="19">
        <v>3535.8441994840096</v>
      </c>
      <c r="K223" s="19">
        <v>26</v>
      </c>
    </row>
    <row r="224" spans="9:11" x14ac:dyDescent="0.25">
      <c r="I224" s="16" t="s">
        <v>909</v>
      </c>
      <c r="J224" s="19">
        <v>4609.426557069819</v>
      </c>
      <c r="K224" s="19">
        <v>35</v>
      </c>
    </row>
    <row r="225" spans="9:11" x14ac:dyDescent="0.25">
      <c r="I225" s="16" t="s">
        <v>910</v>
      </c>
      <c r="J225" s="19">
        <v>6041.5859568069545</v>
      </c>
      <c r="K225" s="19">
        <v>46</v>
      </c>
    </row>
    <row r="226" spans="9:11" x14ac:dyDescent="0.25">
      <c r="I226" s="16" t="s">
        <v>911</v>
      </c>
      <c r="J226" s="19">
        <v>2452.1323035287119</v>
      </c>
      <c r="K226" s="19">
        <v>18</v>
      </c>
    </row>
    <row r="227" spans="9:11" x14ac:dyDescent="0.25">
      <c r="I227" s="16" t="s">
        <v>912</v>
      </c>
      <c r="J227" s="19">
        <v>4752.8839914061691</v>
      </c>
      <c r="K227" s="19">
        <v>34</v>
      </c>
    </row>
    <row r="228" spans="9:11" x14ac:dyDescent="0.25">
      <c r="I228" s="16" t="s">
        <v>913</v>
      </c>
      <c r="J228" s="19">
        <v>7639.7221659659072</v>
      </c>
      <c r="K228" s="19">
        <v>55</v>
      </c>
    </row>
    <row r="229" spans="9:11" x14ac:dyDescent="0.25">
      <c r="I229" s="16" t="s">
        <v>914</v>
      </c>
      <c r="J229" s="19">
        <v>9097.9538666863627</v>
      </c>
      <c r="K229" s="19">
        <v>66</v>
      </c>
    </row>
    <row r="230" spans="9:11" x14ac:dyDescent="0.25">
      <c r="I230" s="16" t="s">
        <v>915</v>
      </c>
      <c r="J230" s="19">
        <v>11310.012432381945</v>
      </c>
      <c r="K230" s="19">
        <v>87.3</v>
      </c>
    </row>
    <row r="231" spans="9:11" x14ac:dyDescent="0.25">
      <c r="I231" s="16" t="s">
        <v>916</v>
      </c>
      <c r="J231" s="19">
        <v>4406.2312421203515</v>
      </c>
      <c r="K231" s="19">
        <v>30</v>
      </c>
    </row>
    <row r="232" spans="9:11" x14ac:dyDescent="0.25">
      <c r="I232" s="16" t="s">
        <v>917</v>
      </c>
      <c r="J232" s="19">
        <v>6462.4433523237067</v>
      </c>
      <c r="K232" s="19">
        <v>46</v>
      </c>
    </row>
    <row r="233" spans="9:11" x14ac:dyDescent="0.25">
      <c r="I233" s="16" t="s">
        <v>918</v>
      </c>
      <c r="J233" s="19">
        <v>9595.8815708139209</v>
      </c>
      <c r="K233" s="19">
        <v>66</v>
      </c>
    </row>
    <row r="234" spans="9:11" x14ac:dyDescent="0.25">
      <c r="I234" s="16" t="s">
        <v>919</v>
      </c>
      <c r="J234" s="19">
        <v>12063.110519283264</v>
      </c>
      <c r="K234" s="19">
        <v>82</v>
      </c>
    </row>
    <row r="235" spans="9:11" x14ac:dyDescent="0.25">
      <c r="I235" s="16" t="s">
        <v>920</v>
      </c>
      <c r="J235" s="19">
        <v>14171.899486311982</v>
      </c>
      <c r="K235" s="19">
        <v>100</v>
      </c>
    </row>
    <row r="236" spans="9:11" x14ac:dyDescent="0.25">
      <c r="I236" s="16" t="s">
        <v>921</v>
      </c>
      <c r="J236" s="19">
        <v>18413.387562581713</v>
      </c>
      <c r="K236" s="19">
        <v>134</v>
      </c>
    </row>
    <row r="237" spans="9:11" x14ac:dyDescent="0.25">
      <c r="I237" s="16" t="s">
        <v>922</v>
      </c>
      <c r="J237" s="19">
        <v>22560.187817199483</v>
      </c>
      <c r="K237" s="19">
        <v>174</v>
      </c>
    </row>
    <row r="238" spans="9:11" x14ac:dyDescent="0.25">
      <c r="I238" s="16" t="s">
        <v>923</v>
      </c>
      <c r="J238" s="19">
        <v>2437.7510916124761</v>
      </c>
      <c r="K238" s="19">
        <v>18</v>
      </c>
    </row>
    <row r="239" spans="9:11" x14ac:dyDescent="0.25">
      <c r="I239" s="16" t="s">
        <v>924</v>
      </c>
      <c r="J239" s="19">
        <v>4725.0093812983305</v>
      </c>
      <c r="K239" s="19">
        <v>34</v>
      </c>
    </row>
    <row r="240" spans="9:11" x14ac:dyDescent="0.25">
      <c r="I240" s="16" t="s">
        <v>925</v>
      </c>
      <c r="J240" s="19">
        <v>7594.9168904545431</v>
      </c>
      <c r="K240" s="19">
        <v>55</v>
      </c>
    </row>
    <row r="241" spans="9:11" x14ac:dyDescent="0.25">
      <c r="I241" s="16" t="s">
        <v>926</v>
      </c>
      <c r="J241" s="19">
        <v>9044.5963857818169</v>
      </c>
      <c r="K241" s="19">
        <v>66</v>
      </c>
    </row>
    <row r="242" spans="9:11" x14ac:dyDescent="0.25">
      <c r="I242" s="16" t="s">
        <v>927</v>
      </c>
      <c r="J242" s="19">
        <v>11243.681718769438</v>
      </c>
      <c r="K242" s="19">
        <v>87.3</v>
      </c>
    </row>
    <row r="243" spans="9:11" x14ac:dyDescent="0.25">
      <c r="I243" s="16" t="s">
        <v>928</v>
      </c>
      <c r="J243" s="19">
        <v>1355.652193414541</v>
      </c>
      <c r="K243" s="19">
        <v>10</v>
      </c>
    </row>
    <row r="244" spans="9:11" x14ac:dyDescent="0.25">
      <c r="I244" s="16" t="s">
        <v>929</v>
      </c>
      <c r="J244" s="19">
        <v>2423.7865874655795</v>
      </c>
      <c r="K244" s="19">
        <v>18.100000000000001</v>
      </c>
    </row>
    <row r="245" spans="9:11" x14ac:dyDescent="0.25">
      <c r="I245" s="16" t="s">
        <v>930</v>
      </c>
      <c r="J245" s="19">
        <v>3556.972404283405</v>
      </c>
      <c r="K245" s="19">
        <v>26</v>
      </c>
    </row>
    <row r="246" spans="9:11" x14ac:dyDescent="0.25">
      <c r="I246" s="16" t="s">
        <v>931</v>
      </c>
      <c r="J246" s="19">
        <v>4636.969882740038</v>
      </c>
      <c r="K246" s="19">
        <v>35</v>
      </c>
    </row>
    <row r="247" spans="9:11" x14ac:dyDescent="0.25">
      <c r="I247" s="16" t="s">
        <v>932</v>
      </c>
      <c r="J247" s="19">
        <v>6057.3551386756699</v>
      </c>
      <c r="K247" s="19">
        <v>45.8</v>
      </c>
    </row>
    <row r="248" spans="9:11" x14ac:dyDescent="0.25">
      <c r="I248" s="16" t="s">
        <v>933</v>
      </c>
      <c r="J248" s="19">
        <v>2466.7848590660087</v>
      </c>
      <c r="K248" s="19">
        <v>18</v>
      </c>
    </row>
    <row r="249" spans="9:11" x14ac:dyDescent="0.25">
      <c r="I249" s="16" t="s">
        <v>934</v>
      </c>
      <c r="J249" s="19">
        <v>4781.2845375537772</v>
      </c>
      <c r="K249" s="19">
        <v>34</v>
      </c>
    </row>
    <row r="250" spans="9:11" x14ac:dyDescent="0.25">
      <c r="I250" s="16" t="s">
        <v>935</v>
      </c>
      <c r="J250" s="19">
        <v>7685.3728240340906</v>
      </c>
      <c r="K250" s="19">
        <v>55</v>
      </c>
    </row>
    <row r="251" spans="9:11" x14ac:dyDescent="0.25">
      <c r="I251" s="16" t="s">
        <v>936</v>
      </c>
      <c r="J251" s="19">
        <v>9152.3180925136367</v>
      </c>
      <c r="K251" s="19">
        <v>66</v>
      </c>
    </row>
    <row r="252" spans="9:11" x14ac:dyDescent="0.25">
      <c r="I252" s="16" t="s">
        <v>937</v>
      </c>
      <c r="J252" s="19">
        <v>11377.594668892807</v>
      </c>
      <c r="K252" s="19">
        <v>87.3</v>
      </c>
    </row>
    <row r="253" spans="9:11" x14ac:dyDescent="0.25">
      <c r="I253" s="16" t="s">
        <v>938</v>
      </c>
      <c r="J253" s="19">
        <v>4432.944838074638</v>
      </c>
      <c r="K253" s="19">
        <v>30</v>
      </c>
    </row>
    <row r="254" spans="9:11" x14ac:dyDescent="0.25">
      <c r="I254" s="16" t="s">
        <v>941</v>
      </c>
      <c r="J254" s="19">
        <v>6501.0592581581086</v>
      </c>
      <c r="K254" s="19">
        <v>46</v>
      </c>
    </row>
    <row r="255" spans="9:11" x14ac:dyDescent="0.25">
      <c r="I255" s="16" t="s">
        <v>942</v>
      </c>
      <c r="J255" s="19">
        <v>9653.221130936081</v>
      </c>
      <c r="K255" s="19">
        <v>66</v>
      </c>
    </row>
    <row r="256" spans="9:11" x14ac:dyDescent="0.25">
      <c r="I256" s="16" t="s">
        <v>943</v>
      </c>
      <c r="J256" s="19">
        <v>12135.1928439531</v>
      </c>
      <c r="K256" s="19">
        <v>82</v>
      </c>
    </row>
    <row r="257" spans="9:11" x14ac:dyDescent="0.25">
      <c r="I257" s="16" t="s">
        <v>944</v>
      </c>
      <c r="J257" s="19">
        <v>14256.582740960745</v>
      </c>
      <c r="K257" s="19">
        <v>100</v>
      </c>
    </row>
    <row r="258" spans="9:11" x14ac:dyDescent="0.25">
      <c r="I258" s="16" t="s">
        <v>945</v>
      </c>
      <c r="J258" s="19">
        <v>18523.415550672831</v>
      </c>
      <c r="K258" s="19">
        <v>134</v>
      </c>
    </row>
    <row r="259" spans="9:11" x14ac:dyDescent="0.25">
      <c r="I259" s="16" t="s">
        <v>946</v>
      </c>
      <c r="J259" s="19">
        <v>22694.994737873247</v>
      </c>
      <c r="K259" s="19">
        <v>174</v>
      </c>
    </row>
    <row r="260" spans="9:11" x14ac:dyDescent="0.25">
      <c r="I260" s="16" t="s">
        <v>947</v>
      </c>
      <c r="J260" s="19">
        <v>1357.590756665491</v>
      </c>
      <c r="K260" s="19">
        <v>10</v>
      </c>
    </row>
    <row r="261" spans="9:11" x14ac:dyDescent="0.25">
      <c r="I261" s="16" t="s">
        <v>948</v>
      </c>
      <c r="J261" s="19">
        <v>2416.5049099016969</v>
      </c>
      <c r="K261" s="19">
        <v>18</v>
      </c>
    </row>
    <row r="262" spans="9:11" x14ac:dyDescent="0.25">
      <c r="I262" s="16" t="s">
        <v>949</v>
      </c>
      <c r="J262" s="19">
        <v>3562.0588239573322</v>
      </c>
      <c r="K262" s="19">
        <v>26</v>
      </c>
    </row>
    <row r="263" spans="9:11" x14ac:dyDescent="0.25">
      <c r="I263" s="16" t="s">
        <v>950</v>
      </c>
      <c r="J263" s="19">
        <v>4643.6006833643487</v>
      </c>
      <c r="K263" s="19">
        <v>35</v>
      </c>
    </row>
    <row r="264" spans="9:11" x14ac:dyDescent="0.25">
      <c r="I264" s="16" t="s">
        <v>951</v>
      </c>
      <c r="J264" s="19">
        <v>6086.3780624953524</v>
      </c>
      <c r="K264" s="19">
        <v>46</v>
      </c>
    </row>
    <row r="265" spans="9:11" x14ac:dyDescent="0.25">
      <c r="I265" s="16" t="s">
        <v>952</v>
      </c>
      <c r="J265" s="19">
        <v>2470.3123261398023</v>
      </c>
      <c r="K265" s="19">
        <v>18</v>
      </c>
    </row>
    <row r="266" spans="9:11" x14ac:dyDescent="0.25">
      <c r="I266" s="16" t="s">
        <v>953</v>
      </c>
      <c r="J266" s="19">
        <v>4788.1217060707932</v>
      </c>
      <c r="K266" s="19">
        <v>34</v>
      </c>
    </row>
    <row r="267" spans="9:11" x14ac:dyDescent="0.25">
      <c r="I267" s="16" t="s">
        <v>954</v>
      </c>
      <c r="J267" s="19">
        <v>7696.3627972727254</v>
      </c>
      <c r="K267" s="19">
        <v>55</v>
      </c>
    </row>
    <row r="268" spans="9:11" x14ac:dyDescent="0.25">
      <c r="I268" s="16" t="s">
        <v>955</v>
      </c>
      <c r="J268" s="19">
        <v>9165.4057765090911</v>
      </c>
      <c r="K268" s="19">
        <v>66</v>
      </c>
    </row>
    <row r="269" spans="9:11" x14ac:dyDescent="0.25">
      <c r="I269" s="16" t="s">
        <v>956</v>
      </c>
      <c r="J269" s="19">
        <v>11393.864466571345</v>
      </c>
      <c r="K269" s="19">
        <v>87.3</v>
      </c>
    </row>
    <row r="270" spans="9:11" x14ac:dyDescent="0.25">
      <c r="I270" s="16" t="s">
        <v>957</v>
      </c>
      <c r="J270" s="19">
        <v>4438.9931994227791</v>
      </c>
      <c r="K270" s="19">
        <v>30</v>
      </c>
    </row>
    <row r="271" spans="9:11" x14ac:dyDescent="0.25">
      <c r="I271" s="16" t="s">
        <v>958</v>
      </c>
      <c r="J271" s="19">
        <v>6510.3556799330563</v>
      </c>
      <c r="K271" s="19">
        <v>46</v>
      </c>
    </row>
    <row r="272" spans="9:11" x14ac:dyDescent="0.25">
      <c r="I272" s="16" t="s">
        <v>959</v>
      </c>
      <c r="J272" s="19">
        <v>9667.0250991136363</v>
      </c>
      <c r="K272" s="19">
        <v>66</v>
      </c>
    </row>
    <row r="273" spans="9:11" x14ac:dyDescent="0.25">
      <c r="I273" s="16" t="s">
        <v>960</v>
      </c>
      <c r="J273" s="19">
        <v>12152.545996188428</v>
      </c>
      <c r="K273" s="19">
        <v>82</v>
      </c>
    </row>
    <row r="274" spans="9:11" x14ac:dyDescent="0.25">
      <c r="I274" s="16" t="s">
        <v>961</v>
      </c>
      <c r="J274" s="19">
        <v>14276.969450413222</v>
      </c>
      <c r="K274" s="19">
        <v>100</v>
      </c>
    </row>
    <row r="275" spans="9:11" x14ac:dyDescent="0.25">
      <c r="I275" s="16" t="s">
        <v>962</v>
      </c>
      <c r="J275" s="19">
        <v>18549.903770028097</v>
      </c>
      <c r="K275" s="19">
        <v>134</v>
      </c>
    </row>
    <row r="276" spans="9:11" x14ac:dyDescent="0.25">
      <c r="I276" s="16" t="s">
        <v>963</v>
      </c>
      <c r="J276" s="19">
        <v>22727.448255813222</v>
      </c>
      <c r="K276" s="19">
        <v>174</v>
      </c>
    </row>
    <row r="277" spans="9:11" x14ac:dyDescent="0.25">
      <c r="I277" s="16" t="s">
        <v>964</v>
      </c>
      <c r="J277" s="19">
        <v>2483.472491761263</v>
      </c>
      <c r="K277" s="19">
        <v>18</v>
      </c>
    </row>
    <row r="278" spans="9:11" x14ac:dyDescent="0.25">
      <c r="I278" s="16" t="s">
        <v>965</v>
      </c>
      <c r="J278" s="19">
        <v>4813.6296039996632</v>
      </c>
      <c r="K278" s="19">
        <v>34</v>
      </c>
    </row>
    <row r="279" spans="9:11" x14ac:dyDescent="0.25">
      <c r="I279" s="16" t="s">
        <v>966</v>
      </c>
      <c r="J279" s="19">
        <v>7737.3638512784064</v>
      </c>
      <c r="K279" s="19">
        <v>55</v>
      </c>
    </row>
    <row r="280" spans="9:11" x14ac:dyDescent="0.25">
      <c r="I280" s="16" t="s">
        <v>967</v>
      </c>
      <c r="J280" s="19">
        <v>9214.2329052613622</v>
      </c>
      <c r="K280" s="19">
        <v>66</v>
      </c>
    </row>
    <row r="281" spans="9:11" x14ac:dyDescent="0.25">
      <c r="I281" s="16" t="s">
        <v>968</v>
      </c>
      <c r="J281" s="19">
        <v>11454.563327141283</v>
      </c>
      <c r="K281" s="19">
        <v>87.3</v>
      </c>
    </row>
    <row r="282" spans="9:11" x14ac:dyDescent="0.25">
      <c r="I282" s="16" t="s">
        <v>969</v>
      </c>
      <c r="J282" s="19">
        <v>1328.4332741686981</v>
      </c>
      <c r="K282" s="19">
        <v>10</v>
      </c>
    </row>
    <row r="283" spans="9:11" x14ac:dyDescent="0.25">
      <c r="I283" s="16" t="s">
        <v>970</v>
      </c>
      <c r="J283" s="19">
        <v>2375.1215598767453</v>
      </c>
      <c r="K283" s="19">
        <v>18.100000000000001</v>
      </c>
    </row>
    <row r="284" spans="9:11" x14ac:dyDescent="0.25">
      <c r="I284" s="16" t="s">
        <v>971</v>
      </c>
      <c r="J284" s="19">
        <v>3485.5551594309295</v>
      </c>
      <c r="K284" s="19">
        <v>26</v>
      </c>
    </row>
    <row r="285" spans="9:11" x14ac:dyDescent="0.25">
      <c r="I285" s="16" t="s">
        <v>972</v>
      </c>
      <c r="J285" s="19">
        <v>4543.8683413588324</v>
      </c>
      <c r="K285" s="19">
        <v>35</v>
      </c>
    </row>
    <row r="286" spans="9:11" x14ac:dyDescent="0.25">
      <c r="I286" s="16" t="s">
        <v>973</v>
      </c>
      <c r="J286" s="19">
        <v>5935.7349611965719</v>
      </c>
      <c r="K286" s="19">
        <v>45.8</v>
      </c>
    </row>
    <row r="287" spans="9:11" x14ac:dyDescent="0.25">
      <c r="I287" s="16" t="s">
        <v>974</v>
      </c>
      <c r="J287" s="19">
        <v>2443.7073190137316</v>
      </c>
      <c r="K287" s="19">
        <v>18.239999999999998</v>
      </c>
    </row>
    <row r="288" spans="9:11" x14ac:dyDescent="0.25">
      <c r="I288" s="16" t="s">
        <v>975</v>
      </c>
      <c r="J288" s="19">
        <v>4685.285432214464</v>
      </c>
      <c r="K288" s="19">
        <v>34</v>
      </c>
    </row>
    <row r="289" spans="9:11" x14ac:dyDescent="0.25">
      <c r="I289" s="16" t="s">
        <v>976</v>
      </c>
      <c r="J289" s="19">
        <v>7531.065145938067</v>
      </c>
      <c r="K289" s="19">
        <v>55</v>
      </c>
    </row>
    <row r="290" spans="9:11" x14ac:dyDescent="0.25">
      <c r="I290" s="16" t="s">
        <v>977</v>
      </c>
      <c r="J290" s="19">
        <v>8968.5569417682254</v>
      </c>
      <c r="K290" s="19">
        <v>66</v>
      </c>
    </row>
    <row r="291" spans="9:11" x14ac:dyDescent="0.25">
      <c r="I291" s="16" t="s">
        <v>978</v>
      </c>
      <c r="J291" s="19">
        <v>11149.15419425712</v>
      </c>
      <c r="K291" s="19">
        <v>87.3</v>
      </c>
    </row>
    <row r="292" spans="9:11" x14ac:dyDescent="0.25">
      <c r="I292" s="16" t="s">
        <v>979</v>
      </c>
      <c r="J292" s="19">
        <v>4343.7365484906895</v>
      </c>
      <c r="K292" s="19">
        <v>30</v>
      </c>
    </row>
    <row r="293" spans="9:11" x14ac:dyDescent="0.25">
      <c r="I293" s="16" t="s">
        <v>980</v>
      </c>
      <c r="J293" s="19">
        <v>6370.5303453441602</v>
      </c>
      <c r="K293" s="19">
        <v>46</v>
      </c>
    </row>
    <row r="294" spans="9:11" x14ac:dyDescent="0.25">
      <c r="I294" s="16" t="s">
        <v>981</v>
      </c>
      <c r="J294" s="19">
        <v>9459.4027992861229</v>
      </c>
      <c r="K294" s="19">
        <v>66</v>
      </c>
    </row>
    <row r="295" spans="9:11" x14ac:dyDescent="0.25">
      <c r="I295" s="16" t="s">
        <v>982</v>
      </c>
      <c r="J295" s="19">
        <v>11891.541237990416</v>
      </c>
      <c r="K295" s="19">
        <v>82</v>
      </c>
    </row>
    <row r="296" spans="9:11" x14ac:dyDescent="0.25">
      <c r="I296" s="16" t="s">
        <v>983</v>
      </c>
      <c r="J296" s="19">
        <v>13970.337658163739</v>
      </c>
      <c r="K296" s="19">
        <v>100</v>
      </c>
    </row>
    <row r="297" spans="9:11" x14ac:dyDescent="0.25">
      <c r="I297" s="16" t="s">
        <v>984</v>
      </c>
      <c r="J297" s="19">
        <v>18151.500575371509</v>
      </c>
      <c r="K297" s="19">
        <v>134</v>
      </c>
    </row>
    <row r="298" spans="9:11" x14ac:dyDescent="0.25">
      <c r="I298" s="16" t="s">
        <v>985</v>
      </c>
      <c r="J298" s="19">
        <v>22239.322381751364</v>
      </c>
      <c r="K298" s="19">
        <v>174</v>
      </c>
    </row>
    <row r="299" spans="9:11" x14ac:dyDescent="0.25">
      <c r="I299" s="16" t="s">
        <v>986</v>
      </c>
      <c r="J299" s="19">
        <v>1388.0276909079114</v>
      </c>
      <c r="K299" s="19">
        <v>10</v>
      </c>
    </row>
    <row r="300" spans="9:11" x14ac:dyDescent="0.25">
      <c r="I300" s="16" t="s">
        <v>987</v>
      </c>
      <c r="J300" s="19">
        <v>2470.6825040537224</v>
      </c>
      <c r="K300" s="19">
        <v>18</v>
      </c>
    </row>
    <row r="301" spans="9:11" x14ac:dyDescent="0.25">
      <c r="I301" s="16" t="s">
        <v>988</v>
      </c>
      <c r="J301" s="19">
        <v>3641.9195254685301</v>
      </c>
      <c r="K301" s="19">
        <v>26</v>
      </c>
    </row>
    <row r="302" spans="9:11" x14ac:dyDescent="0.25">
      <c r="I302" s="16" t="s">
        <v>989</v>
      </c>
      <c r="J302" s="19">
        <v>4747.7093537819137</v>
      </c>
      <c r="K302" s="19">
        <v>35</v>
      </c>
    </row>
    <row r="303" spans="9:11" x14ac:dyDescent="0.25">
      <c r="I303" s="16" t="s">
        <v>990</v>
      </c>
      <c r="J303" s="19">
        <v>6222.8335355111631</v>
      </c>
      <c r="K303" s="19">
        <v>46</v>
      </c>
    </row>
    <row r="304" spans="9:11" x14ac:dyDescent="0.25">
      <c r="I304" s="16" t="s">
        <v>991</v>
      </c>
      <c r="J304" s="19">
        <v>2525.6962726345732</v>
      </c>
      <c r="K304" s="19">
        <v>18</v>
      </c>
    </row>
    <row r="305" spans="9:11" x14ac:dyDescent="0.25">
      <c r="I305" s="16" t="s">
        <v>992</v>
      </c>
      <c r="J305" s="19">
        <v>4895.4705111483545</v>
      </c>
      <c r="K305" s="19">
        <v>34</v>
      </c>
    </row>
    <row r="306" spans="9:11" x14ac:dyDescent="0.25">
      <c r="I306" s="16" t="s">
        <v>993</v>
      </c>
      <c r="J306" s="19">
        <v>7868.9138309448845</v>
      </c>
      <c r="K306" s="19">
        <v>55</v>
      </c>
    </row>
    <row r="307" spans="9:11" x14ac:dyDescent="0.25">
      <c r="I307" s="16" t="s">
        <v>994</v>
      </c>
      <c r="J307" s="19">
        <v>9370.8924826869534</v>
      </c>
      <c r="K307" s="19">
        <v>66</v>
      </c>
    </row>
    <row r="308" spans="9:11" x14ac:dyDescent="0.25">
      <c r="I308" s="16" t="s">
        <v>995</v>
      </c>
      <c r="J308" s="19">
        <v>11649.312805353404</v>
      </c>
      <c r="K308" s="19">
        <v>87.3</v>
      </c>
    </row>
    <row r="309" spans="9:11" x14ac:dyDescent="0.25">
      <c r="I309" s="16" t="s">
        <v>996</v>
      </c>
      <c r="J309" s="19">
        <v>4538.4181793839625</v>
      </c>
      <c r="K309" s="19">
        <v>30</v>
      </c>
    </row>
    <row r="310" spans="9:11" x14ac:dyDescent="0.25">
      <c r="I310" s="16" t="s">
        <v>997</v>
      </c>
      <c r="J310" s="19">
        <v>6656.316652893418</v>
      </c>
      <c r="K310" s="19">
        <v>46</v>
      </c>
    </row>
    <row r="311" spans="9:11" x14ac:dyDescent="0.25">
      <c r="I311" s="16" t="s">
        <v>998</v>
      </c>
      <c r="J311" s="19">
        <v>9883.7580179383385</v>
      </c>
      <c r="K311" s="19">
        <v>66</v>
      </c>
    </row>
    <row r="312" spans="9:11" x14ac:dyDescent="0.25">
      <c r="I312" s="16" t="s">
        <v>999</v>
      </c>
      <c r="J312" s="19">
        <v>12425.003834861762</v>
      </c>
      <c r="K312" s="19">
        <v>82</v>
      </c>
    </row>
    <row r="313" spans="9:11" x14ac:dyDescent="0.25">
      <c r="I313" s="16" t="s">
        <v>1000</v>
      </c>
      <c r="J313" s="19">
        <v>14597.056470901342</v>
      </c>
      <c r="K313" s="19">
        <v>100</v>
      </c>
    </row>
    <row r="314" spans="9:11" x14ac:dyDescent="0.25">
      <c r="I314" s="16" t="s">
        <v>1001</v>
      </c>
      <c r="J314" s="19">
        <v>18965.789189459163</v>
      </c>
      <c r="K314" s="19">
        <v>134</v>
      </c>
    </row>
    <row r="315" spans="9:11" x14ac:dyDescent="0.25">
      <c r="I315" s="16" t="s">
        <v>1002</v>
      </c>
      <c r="J315" s="19">
        <v>23236.993451715469</v>
      </c>
      <c r="K315" s="19">
        <v>174</v>
      </c>
    </row>
    <row r="316" spans="9:11" x14ac:dyDescent="0.25">
      <c r="I316" s="16" t="s">
        <v>1003</v>
      </c>
      <c r="J316" s="19">
        <v>2510.8836243608503</v>
      </c>
      <c r="K316" s="19">
        <v>18</v>
      </c>
    </row>
    <row r="317" spans="9:11" x14ac:dyDescent="0.25">
      <c r="I317" s="16" t="s">
        <v>1004</v>
      </c>
      <c r="J317" s="19">
        <v>4866.7596627372805</v>
      </c>
      <c r="K317" s="19">
        <v>34</v>
      </c>
    </row>
    <row r="318" spans="9:11" x14ac:dyDescent="0.25">
      <c r="I318" s="16" t="s">
        <v>1005</v>
      </c>
      <c r="J318" s="19">
        <v>7822.76439716818</v>
      </c>
      <c r="K318" s="19">
        <v>55</v>
      </c>
    </row>
    <row r="319" spans="9:11" x14ac:dyDescent="0.25">
      <c r="I319" s="16" t="s">
        <v>1006</v>
      </c>
      <c r="J319" s="19">
        <v>9315.9342773552726</v>
      </c>
      <c r="K319" s="19">
        <v>66</v>
      </c>
    </row>
    <row r="320" spans="9:11" x14ac:dyDescent="0.25">
      <c r="I320" s="16" t="s">
        <v>1007</v>
      </c>
      <c r="J320" s="19">
        <v>11580.992170332522</v>
      </c>
      <c r="K320" s="19">
        <v>87.3</v>
      </c>
    </row>
    <row r="321" spans="9:11" x14ac:dyDescent="0.25">
      <c r="I321" s="16" t="s">
        <v>1008</v>
      </c>
      <c r="J321" s="19">
        <v>1396.3217592169772</v>
      </c>
      <c r="K321" s="19">
        <v>10</v>
      </c>
    </row>
    <row r="322" spans="9:11" x14ac:dyDescent="0.25">
      <c r="I322" s="16" t="s">
        <v>1009</v>
      </c>
      <c r="J322" s="19">
        <v>2496.5001850895469</v>
      </c>
      <c r="K322" s="19">
        <v>18.100000000000001</v>
      </c>
    </row>
    <row r="323" spans="9:11" x14ac:dyDescent="0.25">
      <c r="I323" s="16" t="s">
        <v>1010</v>
      </c>
      <c r="J323" s="19">
        <v>3663.6815764119074</v>
      </c>
      <c r="K323" s="19">
        <v>26</v>
      </c>
    </row>
    <row r="324" spans="9:11" x14ac:dyDescent="0.25">
      <c r="I324" s="16" t="s">
        <v>1011</v>
      </c>
      <c r="J324" s="19">
        <v>4776.0789792222395</v>
      </c>
      <c r="K324" s="19">
        <v>35</v>
      </c>
    </row>
    <row r="325" spans="9:11" x14ac:dyDescent="0.25">
      <c r="I325" s="16" t="s">
        <v>1012</v>
      </c>
      <c r="J325" s="19">
        <v>6239.0757928359399</v>
      </c>
      <c r="K325" s="19">
        <v>45.8</v>
      </c>
    </row>
    <row r="326" spans="9:11" x14ac:dyDescent="0.25">
      <c r="I326" s="16" t="s">
        <v>1013</v>
      </c>
      <c r="J326" s="19">
        <v>2540.7884048379892</v>
      </c>
      <c r="K326" s="19">
        <v>18</v>
      </c>
    </row>
    <row r="327" spans="9:11" x14ac:dyDescent="0.25">
      <c r="I327" s="16" t="s">
        <v>1014</v>
      </c>
      <c r="J327" s="19">
        <v>4924.7230736803904</v>
      </c>
      <c r="K327" s="19">
        <v>34</v>
      </c>
    </row>
    <row r="328" spans="9:11" x14ac:dyDescent="0.25">
      <c r="I328" s="16" t="s">
        <v>1015</v>
      </c>
      <c r="J328" s="19">
        <v>7915.9340087551136</v>
      </c>
      <c r="K328" s="19">
        <v>55</v>
      </c>
    </row>
    <row r="329" spans="9:11" x14ac:dyDescent="0.25">
      <c r="I329" s="16" t="s">
        <v>1016</v>
      </c>
      <c r="J329" s="19">
        <v>9426.8876352890456</v>
      </c>
      <c r="K329" s="19">
        <v>66</v>
      </c>
    </row>
    <row r="330" spans="9:11" x14ac:dyDescent="0.25">
      <c r="I330" s="16" t="s">
        <v>1017</v>
      </c>
      <c r="J330" s="19">
        <v>11718.922508959591</v>
      </c>
      <c r="K330" s="19">
        <v>87.3</v>
      </c>
    </row>
    <row r="331" spans="9:11" x14ac:dyDescent="0.25">
      <c r="I331" s="16" t="s">
        <v>1018</v>
      </c>
      <c r="J331" s="19">
        <v>4565.9331832168773</v>
      </c>
      <c r="K331" s="19">
        <v>30</v>
      </c>
    </row>
    <row r="332" spans="9:11" x14ac:dyDescent="0.25">
      <c r="I332" s="16" t="s">
        <v>1019</v>
      </c>
      <c r="J332" s="19">
        <v>6696.0910359028521</v>
      </c>
      <c r="K332" s="19">
        <v>46</v>
      </c>
    </row>
    <row r="333" spans="9:11" x14ac:dyDescent="0.25">
      <c r="I333" s="16" t="s">
        <v>1020</v>
      </c>
      <c r="J333" s="19">
        <v>9942.8177648641631</v>
      </c>
      <c r="K333" s="19">
        <v>66</v>
      </c>
    </row>
    <row r="334" spans="9:11" x14ac:dyDescent="0.25">
      <c r="I334" s="16" t="s">
        <v>1021</v>
      </c>
      <c r="J334" s="19">
        <v>12499.248629271693</v>
      </c>
      <c r="K334" s="19">
        <v>82</v>
      </c>
    </row>
    <row r="335" spans="9:11" x14ac:dyDescent="0.25">
      <c r="I335" s="16" t="s">
        <v>1022</v>
      </c>
      <c r="J335" s="19">
        <v>14684.280223189568</v>
      </c>
      <c r="K335" s="19">
        <v>100</v>
      </c>
    </row>
    <row r="336" spans="9:11" x14ac:dyDescent="0.25">
      <c r="I336" s="16" t="s">
        <v>1023</v>
      </c>
      <c r="J336" s="19">
        <v>19079.118017193017</v>
      </c>
      <c r="K336" s="19">
        <v>134</v>
      </c>
    </row>
    <row r="337" spans="9:11" x14ac:dyDescent="0.25">
      <c r="I337" s="16" t="s">
        <v>1024</v>
      </c>
      <c r="J337" s="19">
        <v>23375.844580009445</v>
      </c>
      <c r="K337" s="19">
        <v>174</v>
      </c>
    </row>
    <row r="338" spans="9:11" x14ac:dyDescent="0.25">
      <c r="I338" s="16" t="s">
        <v>1025</v>
      </c>
      <c r="J338" s="19">
        <v>1398.3184793654557</v>
      </c>
      <c r="K338" s="19">
        <v>10</v>
      </c>
    </row>
    <row r="339" spans="9:11" x14ac:dyDescent="0.25">
      <c r="I339" s="16" t="s">
        <v>1026</v>
      </c>
      <c r="J339" s="19">
        <v>2489.000057198748</v>
      </c>
      <c r="K339" s="19">
        <v>18</v>
      </c>
    </row>
    <row r="340" spans="9:11" x14ac:dyDescent="0.25">
      <c r="I340" s="16" t="s">
        <v>1027</v>
      </c>
      <c r="J340" s="19">
        <v>3668.9205886760524</v>
      </c>
      <c r="K340" s="19">
        <v>26</v>
      </c>
    </row>
    <row r="341" spans="9:11" x14ac:dyDescent="0.25">
      <c r="I341" s="16" t="s">
        <v>1028</v>
      </c>
      <c r="J341" s="19">
        <v>4782.9087038652797</v>
      </c>
      <c r="K341" s="19">
        <v>35</v>
      </c>
    </row>
    <row r="342" spans="9:11" x14ac:dyDescent="0.25">
      <c r="I342" s="16" t="s">
        <v>1029</v>
      </c>
      <c r="J342" s="19">
        <v>6268.9694043702129</v>
      </c>
      <c r="K342" s="19">
        <v>46</v>
      </c>
    </row>
    <row r="343" spans="9:11" x14ac:dyDescent="0.25">
      <c r="I343" s="16" t="s">
        <v>1030</v>
      </c>
      <c r="J343" s="19">
        <v>2544.4216959239966</v>
      </c>
      <c r="K343" s="19">
        <v>18</v>
      </c>
    </row>
    <row r="344" spans="9:11" x14ac:dyDescent="0.25">
      <c r="I344" s="16" t="s">
        <v>1031</v>
      </c>
      <c r="J344" s="19">
        <v>4931.7653572529171</v>
      </c>
      <c r="K344" s="19">
        <v>34</v>
      </c>
    </row>
    <row r="345" spans="9:11" x14ac:dyDescent="0.25">
      <c r="I345" s="16" t="s">
        <v>1032</v>
      </c>
      <c r="J345" s="19">
        <v>7927.2536811909076</v>
      </c>
      <c r="K345" s="19">
        <v>55</v>
      </c>
    </row>
    <row r="346" spans="9:11" x14ac:dyDescent="0.25">
      <c r="I346" s="16" t="s">
        <v>1033</v>
      </c>
      <c r="J346" s="19">
        <v>9440.3679498043639</v>
      </c>
      <c r="K346" s="19">
        <v>66</v>
      </c>
    </row>
    <row r="347" spans="9:11" x14ac:dyDescent="0.25">
      <c r="I347" s="16" t="s">
        <v>1034</v>
      </c>
      <c r="J347" s="19">
        <v>11735.680400568486</v>
      </c>
      <c r="K347" s="19">
        <v>87.3</v>
      </c>
    </row>
    <row r="348" spans="9:11" x14ac:dyDescent="0.25">
      <c r="I348" s="16" t="s">
        <v>1035</v>
      </c>
      <c r="J348" s="19">
        <v>4572.1629954054624</v>
      </c>
      <c r="K348" s="19">
        <v>30</v>
      </c>
    </row>
    <row r="349" spans="9:11" x14ac:dyDescent="0.25">
      <c r="I349" s="16" t="s">
        <v>1036</v>
      </c>
      <c r="J349" s="19">
        <v>6705.6663503310483</v>
      </c>
      <c r="K349" s="19">
        <v>46</v>
      </c>
    </row>
    <row r="350" spans="9:11" x14ac:dyDescent="0.25">
      <c r="I350" s="16" t="s">
        <v>1037</v>
      </c>
      <c r="J350" s="19">
        <v>9957.035852087045</v>
      </c>
      <c r="K350" s="19">
        <v>66</v>
      </c>
    </row>
    <row r="351" spans="9:11" x14ac:dyDescent="0.25">
      <c r="I351" s="16" t="s">
        <v>1038</v>
      </c>
      <c r="J351" s="19">
        <v>12517.122376074081</v>
      </c>
      <c r="K351" s="19">
        <v>82</v>
      </c>
    </row>
    <row r="352" spans="9:11" x14ac:dyDescent="0.25">
      <c r="I352" s="16" t="s">
        <v>1039</v>
      </c>
      <c r="J352" s="19">
        <v>14705.278533925619</v>
      </c>
      <c r="K352" s="19">
        <v>100</v>
      </c>
    </row>
    <row r="353" spans="9:11" x14ac:dyDescent="0.25">
      <c r="I353" s="16" t="s">
        <v>1040</v>
      </c>
      <c r="J353" s="19">
        <v>19106.400883128939</v>
      </c>
      <c r="K353" s="19">
        <v>134</v>
      </c>
    </row>
    <row r="354" spans="9:11" x14ac:dyDescent="0.25">
      <c r="I354" s="16" t="s">
        <v>1041</v>
      </c>
      <c r="J354" s="19">
        <v>23409.271703487619</v>
      </c>
      <c r="K354" s="19">
        <v>174</v>
      </c>
    </row>
    <row r="355" spans="9:11" x14ac:dyDescent="0.25">
      <c r="I355" s="16" t="s">
        <v>1042</v>
      </c>
      <c r="J355" s="19">
        <v>2557.976666514101</v>
      </c>
      <c r="K355" s="19">
        <v>18</v>
      </c>
    </row>
    <row r="356" spans="9:11" x14ac:dyDescent="0.25">
      <c r="I356" s="16" t="s">
        <v>1043</v>
      </c>
      <c r="J356" s="19">
        <v>4958.0384921196537</v>
      </c>
      <c r="K356" s="19">
        <v>34</v>
      </c>
    </row>
    <row r="357" spans="9:11" x14ac:dyDescent="0.25">
      <c r="I357" s="16" t="s">
        <v>1044</v>
      </c>
      <c r="J357" s="19">
        <v>7969.4847668167586</v>
      </c>
      <c r="K357" s="19">
        <v>55</v>
      </c>
    </row>
    <row r="358" spans="9:11" x14ac:dyDescent="0.25">
      <c r="I358" s="16" t="s">
        <v>1045</v>
      </c>
      <c r="J358" s="19">
        <v>9490.659892419204</v>
      </c>
      <c r="K358" s="19">
        <v>66</v>
      </c>
    </row>
    <row r="359" spans="9:11" x14ac:dyDescent="0.25">
      <c r="I359" s="16" t="s">
        <v>1046</v>
      </c>
      <c r="J359" s="19">
        <v>11798.200226955521</v>
      </c>
      <c r="K359" s="19">
        <v>87.3</v>
      </c>
    </row>
  </sheetData>
  <sheetProtection algorithmName="SHA-512" hashValue="H9EZkOQpQTpTEXu9NgwKW+nI65WDb5tl0SOR+IcSHAthHSuDrPoMa4wTFc3rLHYzryecHb13/9kV9puFBFtIZw==" saltValue="qcBrX4KmIiHS+ga5+T6HuQ==" spinCount="100000" sheet="1" selectLockedCells="1"/>
  <mergeCells count="4">
    <mergeCell ref="DH5:DJ5"/>
    <mergeCell ref="DH6:DJ6"/>
    <mergeCell ref="DH7:DJ7"/>
    <mergeCell ref="A52:D55"/>
  </mergeCells>
  <conditionalFormatting sqref="C44">
    <cfRule type="cellIs" dxfId="169" priority="2" operator="greaterThan">
      <formula>$F$44</formula>
    </cfRule>
  </conditionalFormatting>
  <conditionalFormatting sqref="C45">
    <cfRule type="cellIs" dxfId="168" priority="1" operator="greaterThan">
      <formula>$F$45</formula>
    </cfRule>
  </conditionalFormatting>
  <dataValidations count="4">
    <dataValidation type="list" allowBlank="1" showInputMessage="1" showErrorMessage="1" sqref="C43" xr:uid="{63584C90-2F9D-4A76-8EFA-A6302FEE5FF6}">
      <formula1>$V$88:$V$89</formula1>
    </dataValidation>
    <dataValidation type="list" allowBlank="1" showInputMessage="1" showErrorMessage="1" sqref="C18" xr:uid="{D10F75F6-FBD1-47A2-98B2-39D2E633FB72}">
      <formula1>$O$88:$O$90</formula1>
    </dataValidation>
    <dataValidation type="list" allowBlank="1" showInputMessage="1" showErrorMessage="1" sqref="C17" xr:uid="{A5F528D9-8916-468F-AAE7-F29359BC18F0}">
      <formula1>$N$88:$N$92</formula1>
    </dataValidation>
    <dataValidation type="list" allowBlank="1" showInputMessage="1" showErrorMessage="1" sqref="C21" xr:uid="{1841813E-E5D8-4BA1-8928-40C41C3EFEA3}">
      <formula1>$I$126:$I$359</formula1>
    </dataValidation>
  </dataValidations>
  <pageMargins left="0.45" right="0.45" top="0.5" bottom="0.5" header="0.3" footer="0.3"/>
  <pageSetup scale="86" orientation="portrait" horizontalDpi="1200" verticalDpi="1200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F4370-005F-4B89-BC5A-0106B3134A7F}">
  <sheetPr>
    <pageSetUpPr fitToPage="1"/>
  </sheetPr>
  <dimension ref="A5:BK152"/>
  <sheetViews>
    <sheetView showGridLines="0" zoomScaleNormal="100" workbookViewId="0">
      <selection activeCell="BI5" sqref="BI5:BK5"/>
    </sheetView>
  </sheetViews>
  <sheetFormatPr defaultRowHeight="15" x14ac:dyDescent="0.25"/>
  <cols>
    <col min="1" max="1" width="10.42578125" bestFit="1" customWidth="1"/>
    <col min="2" max="2" width="23.140625" bestFit="1" customWidth="1"/>
    <col min="3" max="3" width="23.140625" customWidth="1"/>
    <col min="4" max="4" width="5.85546875" bestFit="1" customWidth="1"/>
    <col min="5" max="8" width="9.140625" hidden="1" customWidth="1"/>
    <col min="9" max="9" width="19.140625" hidden="1" customWidth="1"/>
    <col min="10" max="10" width="9.140625" hidden="1" customWidth="1"/>
    <col min="11" max="11" width="10" hidden="1" customWidth="1"/>
    <col min="12" max="21" width="9.140625" hidden="1" customWidth="1"/>
    <col min="22" max="22" width="13.5703125" hidden="1" customWidth="1"/>
    <col min="23" max="41" width="9.140625" hidden="1" customWidth="1"/>
    <col min="42" max="58" width="9" hidden="1" customWidth="1"/>
  </cols>
  <sheetData>
    <row r="5" spans="1:63" x14ac:dyDescent="0.25">
      <c r="BH5" s="5" t="s">
        <v>1343</v>
      </c>
      <c r="BI5" s="37"/>
      <c r="BJ5" s="37"/>
      <c r="BK5" s="37"/>
    </row>
    <row r="6" spans="1:63" x14ac:dyDescent="0.25">
      <c r="A6" s="10" t="s">
        <v>118</v>
      </c>
      <c r="BH6" s="5" t="s">
        <v>1344</v>
      </c>
      <c r="BI6" s="37"/>
      <c r="BJ6" s="37"/>
      <c r="BK6" s="37"/>
    </row>
    <row r="7" spans="1:63" x14ac:dyDescent="0.25">
      <c r="A7" s="10" t="s">
        <v>142</v>
      </c>
      <c r="BH7" s="5" t="s">
        <v>1345</v>
      </c>
      <c r="BI7" s="37"/>
      <c r="BJ7" s="37"/>
      <c r="BK7" s="37"/>
    </row>
    <row r="9" spans="1:63" x14ac:dyDescent="0.25">
      <c r="I9" s="6">
        <v>24</v>
      </c>
      <c r="Z9" s="2">
        <v>22</v>
      </c>
      <c r="AQ9" s="2">
        <v>14</v>
      </c>
    </row>
    <row r="10" spans="1:63" x14ac:dyDescent="0.25">
      <c r="I10" t="s">
        <v>11</v>
      </c>
      <c r="J10">
        <v>80</v>
      </c>
      <c r="K10">
        <v>80</v>
      </c>
      <c r="L10">
        <v>80</v>
      </c>
      <c r="M10">
        <v>70</v>
      </c>
      <c r="N10">
        <v>70</v>
      </c>
      <c r="O10">
        <v>70</v>
      </c>
      <c r="P10">
        <v>50</v>
      </c>
      <c r="Q10">
        <v>50</v>
      </c>
      <c r="R10">
        <v>50</v>
      </c>
      <c r="S10">
        <v>30</v>
      </c>
      <c r="T10">
        <v>30</v>
      </c>
      <c r="U10">
        <v>30</v>
      </c>
      <c r="V10">
        <v>10</v>
      </c>
      <c r="W10">
        <v>10</v>
      </c>
      <c r="X10">
        <v>10</v>
      </c>
      <c r="Z10" t="s">
        <v>11</v>
      </c>
      <c r="AA10">
        <v>80</v>
      </c>
      <c r="AB10">
        <v>80</v>
      </c>
      <c r="AC10">
        <v>80</v>
      </c>
      <c r="AD10">
        <v>70</v>
      </c>
      <c r="AE10">
        <v>70</v>
      </c>
      <c r="AF10">
        <v>70</v>
      </c>
      <c r="AG10">
        <v>50</v>
      </c>
      <c r="AH10">
        <v>50</v>
      </c>
      <c r="AI10">
        <v>50</v>
      </c>
      <c r="AJ10">
        <v>30</v>
      </c>
      <c r="AK10">
        <v>30</v>
      </c>
      <c r="AL10">
        <v>30</v>
      </c>
      <c r="AM10">
        <v>10</v>
      </c>
      <c r="AN10">
        <v>10</v>
      </c>
      <c r="AO10">
        <v>10</v>
      </c>
      <c r="AQ10" t="s">
        <v>11</v>
      </c>
      <c r="AR10">
        <v>80</v>
      </c>
      <c r="AS10">
        <v>80</v>
      </c>
      <c r="AT10">
        <v>80</v>
      </c>
      <c r="AU10">
        <v>70</v>
      </c>
      <c r="AV10">
        <v>70</v>
      </c>
      <c r="AW10">
        <v>70</v>
      </c>
      <c r="AX10">
        <v>50</v>
      </c>
      <c r="AY10">
        <v>50</v>
      </c>
      <c r="AZ10">
        <v>50</v>
      </c>
      <c r="BA10">
        <v>30</v>
      </c>
      <c r="BB10">
        <v>30</v>
      </c>
      <c r="BC10">
        <v>30</v>
      </c>
      <c r="BD10">
        <v>10</v>
      </c>
      <c r="BE10">
        <v>10</v>
      </c>
      <c r="BF10">
        <v>10</v>
      </c>
    </row>
    <row r="11" spans="1:63" x14ac:dyDescent="0.25">
      <c r="A11" s="2" t="s">
        <v>9</v>
      </c>
      <c r="B11" t="s">
        <v>120</v>
      </c>
      <c r="C11" s="22"/>
      <c r="D11" t="s">
        <v>8</v>
      </c>
      <c r="I11" t="s">
        <v>12</v>
      </c>
      <c r="J11">
        <v>50</v>
      </c>
      <c r="K11">
        <v>30</v>
      </c>
      <c r="L11">
        <v>10</v>
      </c>
      <c r="M11">
        <v>50</v>
      </c>
      <c r="N11">
        <v>30</v>
      </c>
      <c r="O11">
        <v>10</v>
      </c>
      <c r="P11">
        <v>50</v>
      </c>
      <c r="Q11">
        <v>30</v>
      </c>
      <c r="R11">
        <v>10</v>
      </c>
      <c r="S11">
        <v>50</v>
      </c>
      <c r="T11">
        <v>30</v>
      </c>
      <c r="U11">
        <v>10</v>
      </c>
      <c r="V11">
        <v>50</v>
      </c>
      <c r="W11">
        <v>30</v>
      </c>
      <c r="X11">
        <v>10</v>
      </c>
      <c r="Z11" t="s">
        <v>12</v>
      </c>
      <c r="AA11">
        <v>50</v>
      </c>
      <c r="AB11">
        <v>30</v>
      </c>
      <c r="AC11">
        <v>10</v>
      </c>
      <c r="AD11">
        <v>50</v>
      </c>
      <c r="AE11">
        <v>30</v>
      </c>
      <c r="AF11">
        <v>10</v>
      </c>
      <c r="AG11">
        <v>50</v>
      </c>
      <c r="AH11">
        <v>30</v>
      </c>
      <c r="AI11">
        <v>10</v>
      </c>
      <c r="AJ11">
        <v>50</v>
      </c>
      <c r="AK11">
        <v>30</v>
      </c>
      <c r="AL11">
        <v>10</v>
      </c>
      <c r="AM11">
        <v>50</v>
      </c>
      <c r="AN11">
        <v>30</v>
      </c>
      <c r="AO11">
        <v>10</v>
      </c>
      <c r="AQ11" t="s">
        <v>12</v>
      </c>
      <c r="AR11">
        <v>50</v>
      </c>
      <c r="AS11">
        <v>30</v>
      </c>
      <c r="AT11">
        <v>10</v>
      </c>
      <c r="AU11">
        <v>50</v>
      </c>
      <c r="AV11">
        <v>30</v>
      </c>
      <c r="AW11">
        <v>10</v>
      </c>
      <c r="AX11">
        <v>50</v>
      </c>
      <c r="AY11">
        <v>30</v>
      </c>
      <c r="AZ11">
        <v>10</v>
      </c>
      <c r="BA11">
        <v>50</v>
      </c>
      <c r="BB11">
        <v>30</v>
      </c>
      <c r="BC11">
        <v>10</v>
      </c>
      <c r="BD11">
        <v>50</v>
      </c>
      <c r="BE11">
        <v>30</v>
      </c>
      <c r="BF11">
        <v>10</v>
      </c>
    </row>
    <row r="12" spans="1:63" x14ac:dyDescent="0.25">
      <c r="B12" t="s">
        <v>121</v>
      </c>
      <c r="C12" s="22"/>
      <c r="D12" t="s">
        <v>8</v>
      </c>
      <c r="I12" t="s">
        <v>14</v>
      </c>
      <c r="J12" t="s">
        <v>13</v>
      </c>
      <c r="K12" t="s">
        <v>16</v>
      </c>
      <c r="L12" t="s">
        <v>17</v>
      </c>
      <c r="M12" t="s">
        <v>18</v>
      </c>
      <c r="N12" t="s">
        <v>19</v>
      </c>
      <c r="O12" t="s">
        <v>20</v>
      </c>
      <c r="P12" t="s">
        <v>21</v>
      </c>
      <c r="Q12" t="s">
        <v>22</v>
      </c>
      <c r="R12" t="s">
        <v>23</v>
      </c>
      <c r="S12" t="s">
        <v>24</v>
      </c>
      <c r="T12" t="s">
        <v>26</v>
      </c>
      <c r="U12" t="s">
        <v>25</v>
      </c>
      <c r="V12" t="s">
        <v>27</v>
      </c>
      <c r="W12" t="s">
        <v>28</v>
      </c>
      <c r="X12" t="s">
        <v>29</v>
      </c>
      <c r="Z12" s="7" t="s">
        <v>14</v>
      </c>
      <c r="AA12" s="8" t="s">
        <v>13</v>
      </c>
      <c r="AB12" s="8" t="s">
        <v>16</v>
      </c>
      <c r="AC12" s="8" t="s">
        <v>17</v>
      </c>
      <c r="AD12" s="8" t="s">
        <v>18</v>
      </c>
      <c r="AE12" s="8" t="s">
        <v>19</v>
      </c>
      <c r="AF12" s="8" t="s">
        <v>20</v>
      </c>
      <c r="AG12" s="8" t="s">
        <v>21</v>
      </c>
      <c r="AH12" s="8" t="s">
        <v>22</v>
      </c>
      <c r="AI12" s="8" t="s">
        <v>23</v>
      </c>
      <c r="AJ12" s="8" t="s">
        <v>24</v>
      </c>
      <c r="AK12" s="8" t="s">
        <v>26</v>
      </c>
      <c r="AL12" s="8" t="s">
        <v>25</v>
      </c>
      <c r="AM12" s="8" t="s">
        <v>27</v>
      </c>
      <c r="AN12" s="8" t="s">
        <v>28</v>
      </c>
      <c r="AO12" s="9" t="s">
        <v>29</v>
      </c>
      <c r="AQ12" s="7" t="s">
        <v>14</v>
      </c>
      <c r="AR12" s="8" t="s">
        <v>13</v>
      </c>
      <c r="AS12" s="8" t="s">
        <v>16</v>
      </c>
      <c r="AT12" s="8" t="s">
        <v>17</v>
      </c>
      <c r="AU12" s="8" t="s">
        <v>18</v>
      </c>
      <c r="AV12" s="8" t="s">
        <v>19</v>
      </c>
      <c r="AW12" s="8" t="s">
        <v>20</v>
      </c>
      <c r="AX12" s="8" t="s">
        <v>21</v>
      </c>
      <c r="AY12" s="8" t="s">
        <v>22</v>
      </c>
      <c r="AZ12" s="8" t="s">
        <v>23</v>
      </c>
      <c r="BA12" s="8" t="s">
        <v>24</v>
      </c>
      <c r="BB12" s="8" t="s">
        <v>26</v>
      </c>
      <c r="BC12" s="8" t="s">
        <v>25</v>
      </c>
      <c r="BD12" s="8" t="s">
        <v>27</v>
      </c>
      <c r="BE12" s="8" t="s">
        <v>28</v>
      </c>
      <c r="BF12" s="9" t="s">
        <v>29</v>
      </c>
    </row>
    <row r="13" spans="1:63" ht="17.25" x14ac:dyDescent="0.25">
      <c r="B13" t="s">
        <v>108</v>
      </c>
      <c r="C13" s="13">
        <f>C12*C11</f>
        <v>0</v>
      </c>
      <c r="D13" t="s">
        <v>109</v>
      </c>
      <c r="I13">
        <v>0</v>
      </c>
      <c r="J13">
        <v>119</v>
      </c>
      <c r="K13">
        <v>119</v>
      </c>
      <c r="L13">
        <v>119</v>
      </c>
      <c r="M13">
        <v>116</v>
      </c>
      <c r="N13">
        <v>116</v>
      </c>
      <c r="O13">
        <v>116</v>
      </c>
      <c r="P13">
        <v>111</v>
      </c>
      <c r="Q13">
        <v>111</v>
      </c>
      <c r="R13">
        <v>111</v>
      </c>
      <c r="S13">
        <v>106</v>
      </c>
      <c r="T13">
        <v>106</v>
      </c>
      <c r="U13">
        <v>106</v>
      </c>
      <c r="V13">
        <v>102</v>
      </c>
      <c r="W13">
        <v>102</v>
      </c>
      <c r="X13">
        <v>102</v>
      </c>
      <c r="Z13">
        <v>0</v>
      </c>
      <c r="AA13">
        <v>119</v>
      </c>
      <c r="AB13">
        <v>119</v>
      </c>
      <c r="AC13">
        <v>119</v>
      </c>
      <c r="AD13">
        <v>116</v>
      </c>
      <c r="AE13">
        <v>116</v>
      </c>
      <c r="AF13">
        <v>116</v>
      </c>
      <c r="AG13">
        <v>111</v>
      </c>
      <c r="AH13">
        <v>111</v>
      </c>
      <c r="AI13">
        <v>111</v>
      </c>
      <c r="AJ13">
        <v>106</v>
      </c>
      <c r="AK13">
        <v>106</v>
      </c>
      <c r="AL13">
        <v>106</v>
      </c>
      <c r="AM13">
        <v>102</v>
      </c>
      <c r="AN13">
        <v>102</v>
      </c>
      <c r="AO13">
        <v>102</v>
      </c>
      <c r="AQ13">
        <v>0</v>
      </c>
      <c r="AR13">
        <v>119</v>
      </c>
      <c r="AS13">
        <v>119</v>
      </c>
      <c r="AT13">
        <v>119</v>
      </c>
      <c r="AU13">
        <v>116</v>
      </c>
      <c r="AV13">
        <v>116</v>
      </c>
      <c r="AW13">
        <v>116</v>
      </c>
      <c r="AX13">
        <v>111</v>
      </c>
      <c r="AY13">
        <v>111</v>
      </c>
      <c r="AZ13">
        <v>111</v>
      </c>
      <c r="BA13">
        <v>106</v>
      </c>
      <c r="BB13">
        <v>106</v>
      </c>
      <c r="BC13">
        <v>106</v>
      </c>
      <c r="BD13">
        <v>102</v>
      </c>
      <c r="BE13">
        <v>102</v>
      </c>
      <c r="BF13">
        <v>102</v>
      </c>
    </row>
    <row r="14" spans="1:63" x14ac:dyDescent="0.25">
      <c r="B14" t="s">
        <v>2</v>
      </c>
      <c r="C14" s="22"/>
      <c r="D14" t="s">
        <v>8</v>
      </c>
      <c r="I14">
        <v>1</v>
      </c>
      <c r="J14">
        <v>103</v>
      </c>
      <c r="K14">
        <v>99</v>
      </c>
      <c r="L14">
        <v>95</v>
      </c>
      <c r="M14">
        <v>101</v>
      </c>
      <c r="N14">
        <v>97</v>
      </c>
      <c r="O14">
        <v>94</v>
      </c>
      <c r="P14">
        <v>97</v>
      </c>
      <c r="Q14">
        <v>94</v>
      </c>
      <c r="R14">
        <v>91</v>
      </c>
      <c r="S14">
        <v>93</v>
      </c>
      <c r="T14">
        <v>90</v>
      </c>
      <c r="U14">
        <v>88</v>
      </c>
      <c r="V14">
        <v>89</v>
      </c>
      <c r="W14">
        <v>87</v>
      </c>
      <c r="X14">
        <v>85</v>
      </c>
      <c r="Z14">
        <v>1</v>
      </c>
      <c r="AA14">
        <v>104</v>
      </c>
      <c r="AB14">
        <v>99</v>
      </c>
      <c r="AC14">
        <v>95</v>
      </c>
      <c r="AD14">
        <v>101</v>
      </c>
      <c r="AE14">
        <v>97</v>
      </c>
      <c r="AF14">
        <v>94</v>
      </c>
      <c r="AG14">
        <v>97</v>
      </c>
      <c r="AH14">
        <v>94</v>
      </c>
      <c r="AI14">
        <v>91</v>
      </c>
      <c r="AJ14">
        <v>93</v>
      </c>
      <c r="AK14">
        <v>91</v>
      </c>
      <c r="AL14">
        <v>88</v>
      </c>
      <c r="AM14">
        <v>90</v>
      </c>
      <c r="AN14">
        <v>87</v>
      </c>
      <c r="AO14">
        <v>85</v>
      </c>
      <c r="AQ14">
        <v>1</v>
      </c>
      <c r="AR14">
        <v>104</v>
      </c>
      <c r="AS14">
        <v>100</v>
      </c>
      <c r="AT14">
        <v>97</v>
      </c>
      <c r="AU14">
        <v>102</v>
      </c>
      <c r="AV14">
        <v>98</v>
      </c>
      <c r="AW14">
        <v>95</v>
      </c>
      <c r="AX14">
        <v>98</v>
      </c>
      <c r="AY14">
        <v>95</v>
      </c>
      <c r="AZ14">
        <v>92</v>
      </c>
      <c r="BA14">
        <v>94</v>
      </c>
      <c r="BB14">
        <v>91</v>
      </c>
      <c r="BC14">
        <v>89</v>
      </c>
      <c r="BD14">
        <v>90</v>
      </c>
      <c r="BE14">
        <v>88</v>
      </c>
      <c r="BF14">
        <v>86</v>
      </c>
    </row>
    <row r="15" spans="1:63" x14ac:dyDescent="0.25">
      <c r="B15" t="s">
        <v>0</v>
      </c>
      <c r="C15" s="22">
        <v>2.5</v>
      </c>
      <c r="D15" t="s">
        <v>8</v>
      </c>
      <c r="I15">
        <v>2</v>
      </c>
      <c r="J15">
        <v>90</v>
      </c>
      <c r="K15">
        <v>83</v>
      </c>
      <c r="L15">
        <v>77</v>
      </c>
      <c r="M15">
        <v>88</v>
      </c>
      <c r="N15">
        <v>82</v>
      </c>
      <c r="O15">
        <v>76</v>
      </c>
      <c r="P15">
        <v>85</v>
      </c>
      <c r="Q15">
        <v>79</v>
      </c>
      <c r="R15">
        <v>75</v>
      </c>
      <c r="S15">
        <v>81</v>
      </c>
      <c r="T15">
        <v>77</v>
      </c>
      <c r="U15">
        <v>73</v>
      </c>
      <c r="V15">
        <v>78</v>
      </c>
      <c r="W15">
        <v>74</v>
      </c>
      <c r="X15">
        <v>71</v>
      </c>
      <c r="Z15">
        <v>2</v>
      </c>
      <c r="AA15">
        <v>90</v>
      </c>
      <c r="AB15">
        <v>83</v>
      </c>
      <c r="AC15">
        <v>78</v>
      </c>
      <c r="AD15">
        <v>88</v>
      </c>
      <c r="AE15">
        <v>82</v>
      </c>
      <c r="AF15">
        <v>77</v>
      </c>
      <c r="AG15">
        <v>85</v>
      </c>
      <c r="AH15">
        <v>79</v>
      </c>
      <c r="AI15">
        <v>75</v>
      </c>
      <c r="AJ15">
        <v>82</v>
      </c>
      <c r="AK15">
        <v>77</v>
      </c>
      <c r="AL15">
        <v>73</v>
      </c>
      <c r="AM15">
        <v>78</v>
      </c>
      <c r="AN15">
        <v>75</v>
      </c>
      <c r="AO15">
        <v>71</v>
      </c>
      <c r="AQ15">
        <v>2</v>
      </c>
      <c r="AR15">
        <v>91</v>
      </c>
      <c r="AS15">
        <v>84</v>
      </c>
      <c r="AT15">
        <v>79</v>
      </c>
      <c r="AU15">
        <v>89</v>
      </c>
      <c r="AV15">
        <v>83</v>
      </c>
      <c r="AW15">
        <v>78</v>
      </c>
      <c r="AX15">
        <v>86</v>
      </c>
      <c r="AY15">
        <v>81</v>
      </c>
      <c r="AZ15">
        <v>76</v>
      </c>
      <c r="BA15">
        <v>82</v>
      </c>
      <c r="BB15">
        <v>78</v>
      </c>
      <c r="BC15">
        <v>74</v>
      </c>
      <c r="BD15">
        <v>79</v>
      </c>
      <c r="BE15">
        <v>76</v>
      </c>
      <c r="BF15">
        <v>73</v>
      </c>
    </row>
    <row r="16" spans="1:63" x14ac:dyDescent="0.25">
      <c r="B16" t="s">
        <v>4</v>
      </c>
      <c r="C16" s="15" t="e">
        <f>(5*(C14-C15)*(C11+C12))/(C11*C12)</f>
        <v>#DIV/0!</v>
      </c>
      <c r="I16">
        <v>3</v>
      </c>
      <c r="J16">
        <v>79</v>
      </c>
      <c r="K16">
        <v>71</v>
      </c>
      <c r="L16">
        <v>64</v>
      </c>
      <c r="M16">
        <v>77</v>
      </c>
      <c r="N16">
        <v>70</v>
      </c>
      <c r="O16">
        <v>64</v>
      </c>
      <c r="P16">
        <v>74</v>
      </c>
      <c r="Q16">
        <v>68</v>
      </c>
      <c r="R16">
        <v>62</v>
      </c>
      <c r="S16">
        <v>72</v>
      </c>
      <c r="T16">
        <v>66</v>
      </c>
      <c r="U16">
        <v>61</v>
      </c>
      <c r="V16">
        <v>69</v>
      </c>
      <c r="W16">
        <v>64</v>
      </c>
      <c r="X16">
        <v>60</v>
      </c>
      <c r="Z16">
        <v>3</v>
      </c>
      <c r="AA16">
        <v>79</v>
      </c>
      <c r="AB16">
        <v>71</v>
      </c>
      <c r="AC16">
        <v>64</v>
      </c>
      <c r="AD16">
        <v>78</v>
      </c>
      <c r="AE16">
        <v>70</v>
      </c>
      <c r="AF16">
        <v>64</v>
      </c>
      <c r="AG16">
        <v>75</v>
      </c>
      <c r="AH16">
        <v>68</v>
      </c>
      <c r="AI16">
        <v>63</v>
      </c>
      <c r="AJ16">
        <v>72</v>
      </c>
      <c r="AK16">
        <v>66</v>
      </c>
      <c r="AL16">
        <v>62</v>
      </c>
      <c r="AM16">
        <v>69</v>
      </c>
      <c r="AN16">
        <v>65</v>
      </c>
      <c r="AO16">
        <v>61</v>
      </c>
      <c r="AQ16">
        <v>3</v>
      </c>
      <c r="AR16">
        <v>80</v>
      </c>
      <c r="AS16">
        <v>72</v>
      </c>
      <c r="AT16">
        <v>66</v>
      </c>
      <c r="AU16">
        <v>79</v>
      </c>
      <c r="AV16">
        <v>71</v>
      </c>
      <c r="AW16">
        <v>65</v>
      </c>
      <c r="AX16">
        <v>76</v>
      </c>
      <c r="AY16">
        <v>69</v>
      </c>
      <c r="AZ16">
        <v>64</v>
      </c>
      <c r="BA16">
        <v>73</v>
      </c>
      <c r="BB16">
        <v>67</v>
      </c>
      <c r="BC16">
        <v>63</v>
      </c>
      <c r="BD16">
        <v>70</v>
      </c>
      <c r="BE16">
        <v>66</v>
      </c>
      <c r="BF16">
        <v>62</v>
      </c>
    </row>
    <row r="17" spans="1:63" x14ac:dyDescent="0.25">
      <c r="B17" t="s">
        <v>5</v>
      </c>
      <c r="C17" s="22">
        <v>80</v>
      </c>
      <c r="I17">
        <v>4</v>
      </c>
      <c r="J17">
        <v>70</v>
      </c>
      <c r="K17">
        <v>61</v>
      </c>
      <c r="L17">
        <v>54</v>
      </c>
      <c r="M17">
        <v>69</v>
      </c>
      <c r="N17">
        <v>60</v>
      </c>
      <c r="O17">
        <v>54</v>
      </c>
      <c r="P17">
        <v>66</v>
      </c>
      <c r="Q17">
        <v>59</v>
      </c>
      <c r="R17">
        <v>53</v>
      </c>
      <c r="S17">
        <v>64</v>
      </c>
      <c r="T17">
        <v>57</v>
      </c>
      <c r="U17">
        <v>52</v>
      </c>
      <c r="V17">
        <v>62</v>
      </c>
      <c r="W17">
        <v>56</v>
      </c>
      <c r="X17">
        <v>52</v>
      </c>
      <c r="Z17">
        <v>4</v>
      </c>
      <c r="AA17">
        <v>70</v>
      </c>
      <c r="AB17">
        <v>61</v>
      </c>
      <c r="AC17">
        <v>55</v>
      </c>
      <c r="AD17">
        <v>69</v>
      </c>
      <c r="AE17">
        <v>61</v>
      </c>
      <c r="AF17">
        <v>54</v>
      </c>
      <c r="AG17">
        <v>66</v>
      </c>
      <c r="AH17">
        <v>59</v>
      </c>
      <c r="AI17">
        <v>53</v>
      </c>
      <c r="AJ17">
        <v>64</v>
      </c>
      <c r="AK17">
        <v>58</v>
      </c>
      <c r="AL17">
        <v>53</v>
      </c>
      <c r="AM17">
        <v>62</v>
      </c>
      <c r="AN17">
        <v>56</v>
      </c>
      <c r="AO17">
        <v>52</v>
      </c>
      <c r="AQ17">
        <v>4</v>
      </c>
      <c r="AR17">
        <v>71</v>
      </c>
      <c r="AS17">
        <v>62</v>
      </c>
      <c r="AT17">
        <v>56</v>
      </c>
      <c r="AU17">
        <v>70</v>
      </c>
      <c r="AV17">
        <v>62</v>
      </c>
      <c r="AW17">
        <v>55</v>
      </c>
      <c r="AX17">
        <v>67</v>
      </c>
      <c r="AY17">
        <v>60</v>
      </c>
      <c r="AZ17">
        <v>54</v>
      </c>
      <c r="BA17">
        <v>65</v>
      </c>
      <c r="BB17">
        <v>59</v>
      </c>
      <c r="BC17">
        <v>54</v>
      </c>
      <c r="BD17">
        <v>63</v>
      </c>
      <c r="BE17">
        <v>57</v>
      </c>
      <c r="BF17">
        <v>53</v>
      </c>
    </row>
    <row r="18" spans="1:63" x14ac:dyDescent="0.25">
      <c r="B18" t="s">
        <v>6</v>
      </c>
      <c r="C18" s="22">
        <v>50</v>
      </c>
      <c r="I18">
        <v>5</v>
      </c>
      <c r="J18">
        <v>62</v>
      </c>
      <c r="K18">
        <v>53</v>
      </c>
      <c r="L18">
        <v>47</v>
      </c>
      <c r="M18">
        <v>61</v>
      </c>
      <c r="N18">
        <v>53</v>
      </c>
      <c r="O18">
        <v>46</v>
      </c>
      <c r="P18">
        <v>59</v>
      </c>
      <c r="Q18">
        <v>52</v>
      </c>
      <c r="R18">
        <v>46</v>
      </c>
      <c r="S18">
        <v>57</v>
      </c>
      <c r="T18">
        <v>51</v>
      </c>
      <c r="U18">
        <v>45</v>
      </c>
      <c r="V18">
        <v>55</v>
      </c>
      <c r="W18">
        <v>50</v>
      </c>
      <c r="X18">
        <v>45</v>
      </c>
      <c r="Z18">
        <v>5</v>
      </c>
      <c r="AA18">
        <v>63</v>
      </c>
      <c r="AB18">
        <v>54</v>
      </c>
      <c r="AC18">
        <v>47</v>
      </c>
      <c r="AD18">
        <v>62</v>
      </c>
      <c r="AE18">
        <v>53</v>
      </c>
      <c r="AF18">
        <v>47</v>
      </c>
      <c r="AG18">
        <v>59</v>
      </c>
      <c r="AH18">
        <v>52</v>
      </c>
      <c r="AI18">
        <v>46</v>
      </c>
      <c r="AJ18">
        <v>57</v>
      </c>
      <c r="AK18">
        <v>51</v>
      </c>
      <c r="AL18">
        <v>46</v>
      </c>
      <c r="AM18">
        <v>56</v>
      </c>
      <c r="AN18">
        <v>50</v>
      </c>
      <c r="AO18">
        <v>45</v>
      </c>
      <c r="AQ18">
        <v>5</v>
      </c>
      <c r="AR18">
        <v>63</v>
      </c>
      <c r="AS18">
        <v>55</v>
      </c>
      <c r="AT18">
        <v>48</v>
      </c>
      <c r="AU18">
        <v>62</v>
      </c>
      <c r="AV18">
        <v>54</v>
      </c>
      <c r="AW18">
        <v>48</v>
      </c>
      <c r="AX18">
        <v>60</v>
      </c>
      <c r="AY18">
        <v>53</v>
      </c>
      <c r="AZ18">
        <v>47</v>
      </c>
      <c r="BA18">
        <v>58</v>
      </c>
      <c r="BB18">
        <v>52</v>
      </c>
      <c r="BC18">
        <v>47</v>
      </c>
      <c r="BD18">
        <v>56</v>
      </c>
      <c r="BE18">
        <v>51</v>
      </c>
      <c r="BF18">
        <v>46</v>
      </c>
    </row>
    <row r="19" spans="1:63" x14ac:dyDescent="0.25">
      <c r="B19" t="s">
        <v>7</v>
      </c>
      <c r="C19">
        <v>20</v>
      </c>
      <c r="I19">
        <v>6</v>
      </c>
      <c r="J19">
        <v>56</v>
      </c>
      <c r="K19">
        <v>47</v>
      </c>
      <c r="L19">
        <v>41</v>
      </c>
      <c r="M19">
        <v>55</v>
      </c>
      <c r="N19">
        <v>47</v>
      </c>
      <c r="O19">
        <v>41</v>
      </c>
      <c r="P19">
        <v>53</v>
      </c>
      <c r="Q19">
        <v>46</v>
      </c>
      <c r="R19">
        <v>40</v>
      </c>
      <c r="S19">
        <v>52</v>
      </c>
      <c r="T19">
        <v>45</v>
      </c>
      <c r="U19">
        <v>40</v>
      </c>
      <c r="V19">
        <v>50</v>
      </c>
      <c r="W19">
        <v>44</v>
      </c>
      <c r="X19">
        <v>39</v>
      </c>
      <c r="Z19">
        <v>6</v>
      </c>
      <c r="AA19">
        <v>56</v>
      </c>
      <c r="AB19">
        <v>47</v>
      </c>
      <c r="AC19">
        <v>41</v>
      </c>
      <c r="AD19">
        <v>56</v>
      </c>
      <c r="AE19">
        <v>47</v>
      </c>
      <c r="AF19">
        <v>41</v>
      </c>
      <c r="AG19">
        <v>54</v>
      </c>
      <c r="AH19">
        <v>46</v>
      </c>
      <c r="AI19">
        <v>40</v>
      </c>
      <c r="AJ19">
        <v>52</v>
      </c>
      <c r="AK19">
        <v>45</v>
      </c>
      <c r="AL19">
        <v>40</v>
      </c>
      <c r="AM19">
        <v>50</v>
      </c>
      <c r="AN19">
        <v>44</v>
      </c>
      <c r="AO19">
        <v>40</v>
      </c>
      <c r="AQ19">
        <v>6</v>
      </c>
      <c r="AR19">
        <v>57</v>
      </c>
      <c r="AS19">
        <v>48</v>
      </c>
      <c r="AT19">
        <v>42</v>
      </c>
      <c r="AU19">
        <v>56</v>
      </c>
      <c r="AV19">
        <v>48</v>
      </c>
      <c r="AW19">
        <v>42</v>
      </c>
      <c r="AX19">
        <v>54</v>
      </c>
      <c r="AY19">
        <v>47</v>
      </c>
      <c r="AZ19">
        <v>41</v>
      </c>
      <c r="BA19">
        <v>53</v>
      </c>
      <c r="BB19">
        <v>46</v>
      </c>
      <c r="BC19">
        <v>41</v>
      </c>
      <c r="BD19">
        <v>51</v>
      </c>
      <c r="BE19">
        <v>45</v>
      </c>
      <c r="BF19">
        <v>41</v>
      </c>
    </row>
    <row r="20" spans="1:63" x14ac:dyDescent="0.25">
      <c r="I20">
        <v>7</v>
      </c>
      <c r="J20">
        <v>51</v>
      </c>
      <c r="K20">
        <v>42</v>
      </c>
      <c r="L20">
        <v>36</v>
      </c>
      <c r="M20">
        <v>50</v>
      </c>
      <c r="N20">
        <v>42</v>
      </c>
      <c r="O20">
        <v>36</v>
      </c>
      <c r="P20">
        <v>49</v>
      </c>
      <c r="Q20">
        <v>41</v>
      </c>
      <c r="R20">
        <v>36</v>
      </c>
      <c r="S20">
        <v>47</v>
      </c>
      <c r="T20">
        <v>40</v>
      </c>
      <c r="U20">
        <v>35</v>
      </c>
      <c r="V20">
        <v>46</v>
      </c>
      <c r="W20">
        <v>40</v>
      </c>
      <c r="X20">
        <v>35</v>
      </c>
      <c r="Z20">
        <v>7</v>
      </c>
      <c r="AA20">
        <v>51</v>
      </c>
      <c r="AB20">
        <v>42</v>
      </c>
      <c r="AC20">
        <v>36</v>
      </c>
      <c r="AD20">
        <v>50</v>
      </c>
      <c r="AE20">
        <v>42</v>
      </c>
      <c r="AF20">
        <v>36</v>
      </c>
      <c r="AG20">
        <v>49</v>
      </c>
      <c r="AH20">
        <v>41</v>
      </c>
      <c r="AI20">
        <v>36</v>
      </c>
      <c r="AJ20">
        <v>47</v>
      </c>
      <c r="AK20">
        <v>41</v>
      </c>
      <c r="AL20">
        <v>36</v>
      </c>
      <c r="AM20">
        <v>46</v>
      </c>
      <c r="AN20">
        <v>40</v>
      </c>
      <c r="AO20">
        <v>35</v>
      </c>
      <c r="AQ20">
        <v>7</v>
      </c>
      <c r="AR20">
        <v>52</v>
      </c>
      <c r="AS20">
        <v>43</v>
      </c>
      <c r="AT20">
        <v>37</v>
      </c>
      <c r="AU20">
        <v>51</v>
      </c>
      <c r="AV20">
        <v>43</v>
      </c>
      <c r="AW20">
        <v>37</v>
      </c>
      <c r="AX20">
        <v>49</v>
      </c>
      <c r="AY20">
        <v>42</v>
      </c>
      <c r="AZ20">
        <v>37</v>
      </c>
      <c r="BA20">
        <v>48</v>
      </c>
      <c r="BB20">
        <v>41</v>
      </c>
      <c r="BC20">
        <v>36</v>
      </c>
      <c r="BD20">
        <v>47</v>
      </c>
      <c r="BE20">
        <v>41</v>
      </c>
      <c r="BF20">
        <v>36</v>
      </c>
    </row>
    <row r="21" spans="1:63" x14ac:dyDescent="0.25">
      <c r="A21" s="2" t="s">
        <v>112</v>
      </c>
      <c r="B21" t="s">
        <v>107</v>
      </c>
      <c r="C21" s="22"/>
      <c r="E21" s="12">
        <f>IF(ISNUMBER(SEARCH("24",C21)),24,IF(ISNUMBER(SEARCH("22",C21)),22,14))</f>
        <v>14</v>
      </c>
      <c r="I21">
        <v>8</v>
      </c>
      <c r="J21">
        <v>47</v>
      </c>
      <c r="K21">
        <v>38</v>
      </c>
      <c r="L21">
        <v>32</v>
      </c>
      <c r="M21">
        <v>46</v>
      </c>
      <c r="N21">
        <v>38</v>
      </c>
      <c r="O21">
        <v>32</v>
      </c>
      <c r="P21">
        <v>45</v>
      </c>
      <c r="Q21">
        <v>37</v>
      </c>
      <c r="R21">
        <v>32</v>
      </c>
      <c r="S21">
        <v>43</v>
      </c>
      <c r="T21">
        <v>37</v>
      </c>
      <c r="U21">
        <v>32</v>
      </c>
      <c r="V21">
        <v>42</v>
      </c>
      <c r="W21">
        <v>36</v>
      </c>
      <c r="X21">
        <v>31</v>
      </c>
      <c r="Z21">
        <v>8</v>
      </c>
      <c r="AA21">
        <v>47</v>
      </c>
      <c r="AB21">
        <v>38</v>
      </c>
      <c r="AC21">
        <v>32</v>
      </c>
      <c r="AD21">
        <v>46</v>
      </c>
      <c r="AE21">
        <v>38</v>
      </c>
      <c r="AF21">
        <v>32</v>
      </c>
      <c r="AG21">
        <v>45</v>
      </c>
      <c r="AH21">
        <v>37</v>
      </c>
      <c r="AI21">
        <v>32</v>
      </c>
      <c r="AJ21">
        <v>43</v>
      </c>
      <c r="AK21">
        <v>37</v>
      </c>
      <c r="AL21">
        <v>32</v>
      </c>
      <c r="AM21">
        <v>42</v>
      </c>
      <c r="AN21">
        <v>36</v>
      </c>
      <c r="AO21">
        <v>32</v>
      </c>
      <c r="AQ21">
        <v>8</v>
      </c>
      <c r="AR21">
        <v>47</v>
      </c>
      <c r="AS21">
        <v>39</v>
      </c>
      <c r="AT21">
        <v>33</v>
      </c>
      <c r="AU21">
        <v>47</v>
      </c>
      <c r="AV21">
        <v>38</v>
      </c>
      <c r="AW21">
        <v>33</v>
      </c>
      <c r="AX21">
        <v>45</v>
      </c>
      <c r="AY21">
        <v>38</v>
      </c>
      <c r="AZ21">
        <v>33</v>
      </c>
      <c r="BA21">
        <v>44</v>
      </c>
      <c r="BB21">
        <v>37</v>
      </c>
      <c r="BC21">
        <v>32</v>
      </c>
      <c r="BD21">
        <v>43</v>
      </c>
      <c r="BE21">
        <v>37</v>
      </c>
      <c r="BF21">
        <v>32</v>
      </c>
    </row>
    <row r="22" spans="1:63" x14ac:dyDescent="0.25">
      <c r="B22" t="s">
        <v>30</v>
      </c>
      <c r="C22" s="4" t="e">
        <f>VLOOKUP(C21,Model5[],2,0)</f>
        <v>#N/A</v>
      </c>
      <c r="D22" t="s">
        <v>131</v>
      </c>
      <c r="I22">
        <v>9</v>
      </c>
      <c r="J22">
        <v>43</v>
      </c>
      <c r="K22">
        <v>34</v>
      </c>
      <c r="L22">
        <v>29</v>
      </c>
      <c r="M22">
        <v>42</v>
      </c>
      <c r="N22">
        <v>34</v>
      </c>
      <c r="O22">
        <v>29</v>
      </c>
      <c r="P22">
        <v>41</v>
      </c>
      <c r="Q22">
        <v>34</v>
      </c>
      <c r="R22">
        <v>29</v>
      </c>
      <c r="S22">
        <v>40</v>
      </c>
      <c r="T22">
        <v>33</v>
      </c>
      <c r="U22">
        <v>28</v>
      </c>
      <c r="V22">
        <v>39</v>
      </c>
      <c r="W22">
        <v>33</v>
      </c>
      <c r="X22">
        <v>28</v>
      </c>
      <c r="Z22">
        <v>9</v>
      </c>
      <c r="AA22">
        <v>43</v>
      </c>
      <c r="AB22">
        <v>35</v>
      </c>
      <c r="AC22">
        <v>29</v>
      </c>
      <c r="AD22">
        <v>42</v>
      </c>
      <c r="AE22">
        <v>34</v>
      </c>
      <c r="AF22">
        <v>29</v>
      </c>
      <c r="AG22">
        <v>41</v>
      </c>
      <c r="AH22">
        <v>34</v>
      </c>
      <c r="AI22">
        <v>29</v>
      </c>
      <c r="AJ22">
        <v>40</v>
      </c>
      <c r="AK22">
        <v>33</v>
      </c>
      <c r="AL22">
        <v>29</v>
      </c>
      <c r="AM22">
        <v>39</v>
      </c>
      <c r="AN22">
        <v>33</v>
      </c>
      <c r="AO22">
        <v>29</v>
      </c>
      <c r="AQ22">
        <v>9</v>
      </c>
      <c r="AR22">
        <v>43</v>
      </c>
      <c r="AS22">
        <v>35</v>
      </c>
      <c r="AT22">
        <v>30</v>
      </c>
      <c r="AU22">
        <v>43</v>
      </c>
      <c r="AV22">
        <v>35</v>
      </c>
      <c r="AW22">
        <v>30</v>
      </c>
      <c r="AX22">
        <v>42</v>
      </c>
      <c r="AY22">
        <v>34</v>
      </c>
      <c r="AZ22">
        <v>29</v>
      </c>
      <c r="BA22">
        <v>41</v>
      </c>
      <c r="BB22">
        <v>34</v>
      </c>
      <c r="BC22">
        <v>29</v>
      </c>
      <c r="BD22">
        <v>40</v>
      </c>
      <c r="BE22">
        <v>33</v>
      </c>
      <c r="BF22">
        <v>29</v>
      </c>
    </row>
    <row r="23" spans="1:63" x14ac:dyDescent="0.25">
      <c r="B23" t="s">
        <v>31</v>
      </c>
      <c r="C23" t="e">
        <f>VLOOKUP(C21,Model5[],3,FALSE)</f>
        <v>#N/A</v>
      </c>
      <c r="D23" t="s">
        <v>132</v>
      </c>
      <c r="I23">
        <v>10</v>
      </c>
      <c r="J23">
        <v>39</v>
      </c>
      <c r="K23">
        <v>31</v>
      </c>
      <c r="L23">
        <v>26</v>
      </c>
      <c r="M23">
        <v>39</v>
      </c>
      <c r="N23">
        <v>31</v>
      </c>
      <c r="O23">
        <v>26</v>
      </c>
      <c r="P23">
        <v>38</v>
      </c>
      <c r="Q23">
        <v>31</v>
      </c>
      <c r="R23">
        <v>26</v>
      </c>
      <c r="S23">
        <v>37</v>
      </c>
      <c r="T23">
        <v>30</v>
      </c>
      <c r="U23">
        <v>26</v>
      </c>
      <c r="V23">
        <v>36</v>
      </c>
      <c r="W23">
        <v>30</v>
      </c>
      <c r="X23">
        <v>26</v>
      </c>
      <c r="Z23">
        <v>10</v>
      </c>
      <c r="AA23">
        <v>40</v>
      </c>
      <c r="AB23">
        <v>32</v>
      </c>
      <c r="AC23">
        <v>26</v>
      </c>
      <c r="AD23">
        <v>39</v>
      </c>
      <c r="AE23">
        <v>31</v>
      </c>
      <c r="AF23">
        <v>26</v>
      </c>
      <c r="AG23">
        <v>38</v>
      </c>
      <c r="AH23">
        <v>31</v>
      </c>
      <c r="AI23">
        <v>26</v>
      </c>
      <c r="AJ23">
        <v>37</v>
      </c>
      <c r="AK23">
        <v>31</v>
      </c>
      <c r="AL23">
        <v>26</v>
      </c>
      <c r="AM23">
        <v>36</v>
      </c>
      <c r="AN23">
        <v>30</v>
      </c>
      <c r="AO23">
        <v>26</v>
      </c>
      <c r="AQ23">
        <v>10</v>
      </c>
      <c r="AR23">
        <v>40</v>
      </c>
      <c r="AS23">
        <v>32</v>
      </c>
      <c r="AT23">
        <v>27</v>
      </c>
      <c r="AU23">
        <v>39</v>
      </c>
      <c r="AV23">
        <v>32</v>
      </c>
      <c r="AW23">
        <v>27</v>
      </c>
      <c r="AX23">
        <v>38</v>
      </c>
      <c r="AY23">
        <v>31</v>
      </c>
      <c r="AZ23">
        <v>27</v>
      </c>
      <c r="BA23">
        <v>38</v>
      </c>
      <c r="BB23">
        <v>31</v>
      </c>
      <c r="BC23">
        <v>27</v>
      </c>
      <c r="BD23">
        <v>37</v>
      </c>
      <c r="BE23">
        <v>31</v>
      </c>
      <c r="BF23">
        <v>26</v>
      </c>
    </row>
    <row r="24" spans="1:63" x14ac:dyDescent="0.25">
      <c r="B24" t="s">
        <v>3</v>
      </c>
      <c r="C24" s="11" t="e">
        <f t="array" ref="C24">INDEX(CUtable4[],MATCH(1,(CUtable4[RC]=C17)*(CUtable4[RW]=C18)*(CUtable4[Size]=E21),0),4)</f>
        <v>#DIV/0!</v>
      </c>
      <c r="H24" s="5"/>
    </row>
    <row r="25" spans="1:63" x14ac:dyDescent="0.25">
      <c r="B25" t="s">
        <v>133</v>
      </c>
      <c r="C25" s="11">
        <f>VLOOKUP(E21,Table81217[],2,FALSE)</f>
        <v>1.26</v>
      </c>
      <c r="H25" s="5"/>
      <c r="I25" t="s">
        <v>217</v>
      </c>
      <c r="J25" t="e">
        <f t="shared" ref="J25:X25" si="0">(J26*J30^3)+(J27*J30^2)+(J28*J30)+J29</f>
        <v>#DIV/0!</v>
      </c>
      <c r="K25" t="e">
        <f t="shared" si="0"/>
        <v>#DIV/0!</v>
      </c>
      <c r="L25" t="e">
        <f t="shared" si="0"/>
        <v>#DIV/0!</v>
      </c>
      <c r="M25" t="e">
        <f t="shared" si="0"/>
        <v>#DIV/0!</v>
      </c>
      <c r="N25" t="e">
        <f t="shared" si="0"/>
        <v>#DIV/0!</v>
      </c>
      <c r="O25" t="e">
        <f t="shared" si="0"/>
        <v>#DIV/0!</v>
      </c>
      <c r="P25" t="e">
        <f t="shared" si="0"/>
        <v>#DIV/0!</v>
      </c>
      <c r="Q25" t="e">
        <f t="shared" si="0"/>
        <v>#DIV/0!</v>
      </c>
      <c r="R25" t="e">
        <f t="shared" si="0"/>
        <v>#DIV/0!</v>
      </c>
      <c r="S25" t="e">
        <f t="shared" si="0"/>
        <v>#DIV/0!</v>
      </c>
      <c r="T25" t="e">
        <f t="shared" si="0"/>
        <v>#DIV/0!</v>
      </c>
      <c r="U25" t="e">
        <f t="shared" si="0"/>
        <v>#DIV/0!</v>
      </c>
      <c r="V25" t="e">
        <f t="shared" si="0"/>
        <v>#DIV/0!</v>
      </c>
      <c r="W25" t="e">
        <f t="shared" si="0"/>
        <v>#DIV/0!</v>
      </c>
      <c r="X25" t="e">
        <f t="shared" si="0"/>
        <v>#DIV/0!</v>
      </c>
      <c r="Z25" t="s">
        <v>217</v>
      </c>
      <c r="AA25" t="e">
        <f t="shared" ref="AA25:AO25" si="1">(AA26*AA30^3)+(AA27*AA30^2)+(AA28*AA30)+AA29</f>
        <v>#DIV/0!</v>
      </c>
      <c r="AB25" t="e">
        <f t="shared" si="1"/>
        <v>#DIV/0!</v>
      </c>
      <c r="AC25" t="e">
        <f t="shared" si="1"/>
        <v>#DIV/0!</v>
      </c>
      <c r="AD25" t="e">
        <f t="shared" si="1"/>
        <v>#DIV/0!</v>
      </c>
      <c r="AE25" t="e">
        <f t="shared" si="1"/>
        <v>#DIV/0!</v>
      </c>
      <c r="AF25" t="e">
        <f t="shared" si="1"/>
        <v>#DIV/0!</v>
      </c>
      <c r="AG25" t="e">
        <f t="shared" si="1"/>
        <v>#DIV/0!</v>
      </c>
      <c r="AH25" t="e">
        <f t="shared" si="1"/>
        <v>#DIV/0!</v>
      </c>
      <c r="AI25" t="e">
        <f t="shared" si="1"/>
        <v>#DIV/0!</v>
      </c>
      <c r="AJ25" t="e">
        <f t="shared" si="1"/>
        <v>#DIV/0!</v>
      </c>
      <c r="AK25" t="e">
        <f t="shared" si="1"/>
        <v>#DIV/0!</v>
      </c>
      <c r="AL25" t="e">
        <f t="shared" si="1"/>
        <v>#DIV/0!</v>
      </c>
      <c r="AM25" t="e">
        <f t="shared" si="1"/>
        <v>#DIV/0!</v>
      </c>
      <c r="AN25" t="e">
        <f t="shared" si="1"/>
        <v>#DIV/0!</v>
      </c>
      <c r="AO25" t="e">
        <f t="shared" si="1"/>
        <v>#DIV/0!</v>
      </c>
      <c r="AQ25" t="s">
        <v>217</v>
      </c>
      <c r="AR25" t="e">
        <f t="shared" ref="AR25:BF25" si="2">(AR26*AR30^3)+(AR27*AR30^2)+(AR28*AR30)+AR29</f>
        <v>#DIV/0!</v>
      </c>
      <c r="AS25" t="e">
        <f t="shared" si="2"/>
        <v>#DIV/0!</v>
      </c>
      <c r="AT25" t="e">
        <f t="shared" si="2"/>
        <v>#DIV/0!</v>
      </c>
      <c r="AU25" t="e">
        <f t="shared" si="2"/>
        <v>#DIV/0!</v>
      </c>
      <c r="AV25" t="e">
        <f t="shared" si="2"/>
        <v>#DIV/0!</v>
      </c>
      <c r="AW25" t="e">
        <f t="shared" si="2"/>
        <v>#DIV/0!</v>
      </c>
      <c r="AX25" t="e">
        <f t="shared" si="2"/>
        <v>#DIV/0!</v>
      </c>
      <c r="AY25" t="e">
        <f t="shared" si="2"/>
        <v>#DIV/0!</v>
      </c>
      <c r="AZ25" t="e">
        <f t="shared" si="2"/>
        <v>#DIV/0!</v>
      </c>
      <c r="BA25" t="e">
        <f t="shared" si="2"/>
        <v>#DIV/0!</v>
      </c>
      <c r="BB25" t="e">
        <f t="shared" si="2"/>
        <v>#DIV/0!</v>
      </c>
      <c r="BC25" t="e">
        <f t="shared" si="2"/>
        <v>#DIV/0!</v>
      </c>
      <c r="BD25" t="e">
        <f t="shared" si="2"/>
        <v>#DIV/0!</v>
      </c>
      <c r="BE25" t="e">
        <f t="shared" si="2"/>
        <v>#DIV/0!</v>
      </c>
      <c r="BF25" t="e">
        <f t="shared" si="2"/>
        <v>#DIV/0!</v>
      </c>
    </row>
    <row r="26" spans="1:63" x14ac:dyDescent="0.25">
      <c r="B26" t="s">
        <v>134</v>
      </c>
      <c r="C26" s="11">
        <f>VLOOKUP(E21,Table81217[],3,FALSE)</f>
        <v>1.3</v>
      </c>
      <c r="H26" s="5"/>
      <c r="I26" t="s">
        <v>218</v>
      </c>
      <c r="J26">
        <f>INDEX(LINEST(Table2x4[CU],Table2x4[RCR]^{1,2,3}),1)</f>
        <v>-4.9339549339549676E-2</v>
      </c>
      <c r="K26">
        <f>INDEX(LINEST(Table2x4[CU1],Table2x4[RCR]^{1,2,3}),1)</f>
        <v>-7.7117327117327647E-2</v>
      </c>
      <c r="L26">
        <f>INDEX(LINEST(Table2x4[CU2],Table2x4[RCR]^{1,2,3}),1)</f>
        <v>-0.11227661227661243</v>
      </c>
      <c r="M26">
        <f>INDEX(LINEST(Table2x4[CU3],Table2x4[RCR]^{1,2,3}),1)</f>
        <v>-4.1763791763792128E-2</v>
      </c>
      <c r="N26">
        <f>INDEX(LINEST(Table2x4[CU4],Table2x4[RCR]^{1,2,3}),1)</f>
        <v>-7.3426573426574063E-2</v>
      </c>
      <c r="O26">
        <f>INDEX(LINEST(Table2x4[CU5],Table2x4[RCR]^{1,2,3}),1)</f>
        <v>-0.10023310023310081</v>
      </c>
      <c r="P26">
        <f>INDEX(LINEST(Table2x4[CU6],Table2x4[RCR]^{1,2,3}),1)</f>
        <v>-4.2152292152292679E-2</v>
      </c>
      <c r="Q26">
        <f>INDEX(LINEST(Table2x4[CU7],Table2x4[RCR]^{1,2,3}),1)</f>
        <v>-6.0800310800311223E-2</v>
      </c>
      <c r="R26">
        <f>INDEX(LINEST(Table2x4[CU8],Table2x4[RCR]^{1,2,3}),1)</f>
        <v>-8.780108780108821E-2</v>
      </c>
      <c r="S26">
        <f>INDEX(LINEST(Table2x4[CU9],Table2x4[RCR]^{1,2,3}),1)</f>
        <v>-3.3605283605283837E-2</v>
      </c>
      <c r="T26">
        <f>INDEX(LINEST(Table2x4[CU10],Table2x4[RCR]^{1,2,3}),1)</f>
        <v>-5.6721056721057157E-2</v>
      </c>
      <c r="U26">
        <f>INDEX(LINEST(Table2x4[CU11],Table2x4[RCR]^{1,2,3}),1)</f>
        <v>-7.2261072261072756E-2</v>
      </c>
      <c r="V26">
        <f>INDEX(LINEST(Table2x4[CU12],Table2x4[RCR]^{1,2,3}),1)</f>
        <v>-3.7101787101787374E-2</v>
      </c>
      <c r="W26">
        <f>INDEX(LINEST(Table2x4[CU13],Table2x4[RCR]^{1,2,3}),1)</f>
        <v>-5.4390054390054884E-2</v>
      </c>
      <c r="X26">
        <f>INDEX(LINEST(Table2x4[CU14],Table2x4[RCR]^{1,2,3}),1)</f>
        <v>-5.846930846930868E-2</v>
      </c>
      <c r="Z26" t="s">
        <v>218</v>
      </c>
      <c r="AA26">
        <f>INDEX(LINEST(Table2x2[CU],Table2x2[RCR]^{1,2,3}),1)</f>
        <v>-4.2346542346542997E-2</v>
      </c>
      <c r="AB26">
        <f>INDEX(LINEST(Table2x2[CU1],Table2x2[RCR]^{1,2,3}),1)</f>
        <v>-7.2455322455322935E-2</v>
      </c>
      <c r="AC26">
        <f>INDEX(LINEST(Table2x2[CU2],Table2x2[RCR]^{1,2,3}),1)</f>
        <v>-0.10528360528360553</v>
      </c>
      <c r="AD26">
        <f>INDEX(LINEST(Table2x2[CU3],Table2x2[RCR]^{1,2,3}),1)</f>
        <v>-4.0015540015540516E-2</v>
      </c>
      <c r="AE26">
        <f>INDEX(LINEST(Table2x2[CU4],Table2x2[RCR]^{1,2,3}),1)</f>
        <v>-7.0707070707071037E-2</v>
      </c>
      <c r="AF26">
        <f>INDEX(LINEST(Table2x2[CU5],Table2x2[RCR]^{1,2,3}),1)</f>
        <v>-9.5959595959596231E-2</v>
      </c>
      <c r="AG26">
        <f>INDEX(LINEST(Table2x2[CU6],Table2x2[RCR]^{1,2,3}),1)</f>
        <v>-4.0404040404040699E-2</v>
      </c>
      <c r="AH26">
        <f>INDEX(LINEST(Table2x2[CU7],Table2x2[RCR]^{1,2,3}),1)</f>
        <v>-6.0800310800311223E-2</v>
      </c>
      <c r="AI26">
        <f>INDEX(LINEST(Table2x2[CU8],Table2x2[RCR]^{1,2,3}),1)</f>
        <v>-8.3333333333333662E-2</v>
      </c>
      <c r="AJ26">
        <f>INDEX(LINEST(Table2x2[CU9],Table2x2[RCR]^{1,2,3}),1)</f>
        <v>-2.9331779331779547E-2</v>
      </c>
      <c r="AK26">
        <f>INDEX(LINEST(Table2x2[CU10],Table2x2[RCR]^{1,2,3}),1)</f>
        <v>-5.1476301476301806E-2</v>
      </c>
      <c r="AL26">
        <f>INDEX(LINEST(Table2x2[CU11],Table2x2[RCR]^{1,2,3}),1)</f>
        <v>-7.0707070707070954E-2</v>
      </c>
      <c r="AM26">
        <f>INDEX(LINEST(Table2x2[CU12],Table2x2[RCR]^{1,2,3}),1)</f>
        <v>-3.5936285936286214E-2</v>
      </c>
      <c r="AN26">
        <f>INDEX(LINEST(Table2x2[CU13],Table2x2[RCR]^{1,2,3}),1)</f>
        <v>-4.5648795648795905E-2</v>
      </c>
      <c r="AO26">
        <f>INDEX(LINEST(Table2x2[CU14],Table2x2[RCR]^{1,2,3}),1)</f>
        <v>-6.2160062160062174E-2</v>
      </c>
      <c r="AQ26" t="s">
        <v>218</v>
      </c>
      <c r="AR26">
        <f>INDEX(LINEST(Table1x4[CU],Table1x4[RCR]^{1,2,3}),1)</f>
        <v>-3.8073038073038301E-2</v>
      </c>
      <c r="AS26">
        <f>INDEX(LINEST(Table1x4[CU1],Table1x4[RCR]^{1,2,3}),1)</f>
        <v>-7.1289821289821781E-2</v>
      </c>
      <c r="AT26">
        <f>INDEX(LINEST(Table1x4[CU2],Table1x4[RCR]^{1,2,3}),1)</f>
        <v>-9.3822843822844268E-2</v>
      </c>
      <c r="AU26">
        <f>INDEX(LINEST(Table1x4[CU3],Table1x4[RCR]^{1,2,3}),1)</f>
        <v>-3.72960372960374E-2</v>
      </c>
      <c r="AV26">
        <f>INDEX(LINEST(Table1x4[CU4],Table1x4[RCR]^{1,2,3}),1)</f>
        <v>-6.0606060606061121E-2</v>
      </c>
      <c r="AW26">
        <f>INDEX(LINEST(Table1x4[CU5],Table1x4[RCR]^{1,2,3}),1)</f>
        <v>-9.0132090132090559E-2</v>
      </c>
      <c r="AX26">
        <f>INDEX(LINEST(Table1x4[CU6],Table1x4[RCR]^{1,2,3}),1)</f>
        <v>-2.8943278943279038E-2</v>
      </c>
      <c r="AY26">
        <f>INDEX(LINEST(Table1x4[CU7],Table1x4[RCR]^{1,2,3}),1)</f>
        <v>-5.5361305361305457E-2</v>
      </c>
      <c r="AZ26">
        <f>INDEX(LINEST(Table1x4[CU8],Table1x4[RCR]^{1,2,3}),1)</f>
        <v>-7.6340326340326545E-2</v>
      </c>
      <c r="BA26">
        <f>INDEX(LINEST(Table1x4[CU9],Table1x4[RCR]^{1,2,3}),1)</f>
        <v>-2.7777777777778102E-2</v>
      </c>
      <c r="BB26">
        <f>INDEX(LINEST(Table1x4[CU10],Table1x4[RCR]^{1,2,3}),1)</f>
        <v>-4.390054390054407E-2</v>
      </c>
      <c r="BC26">
        <f>INDEX(LINEST(Table1x4[CU11],Table1x4[RCR]^{1,2,3}),1)</f>
        <v>-5.4972804972805267E-2</v>
      </c>
      <c r="BD26">
        <f>INDEX(LINEST(Table1x4[CU12],Table1x4[RCR]^{1,2,3}),1)</f>
        <v>-3.1274281274281585E-2</v>
      </c>
      <c r="BE26">
        <f>INDEX(LINEST(Table1x4[CU13],Table1x4[RCR]^{1,2,3}),1)</f>
        <v>-3.8655788655788961E-2</v>
      </c>
      <c r="BF26">
        <f>INDEX(LINEST(Table1x4[CU14],Table1x4[RCR]^{1,2,3}),1)</f>
        <v>-5.2447552447552781E-2</v>
      </c>
    </row>
    <row r="27" spans="1:63" x14ac:dyDescent="0.25">
      <c r="B27" t="s">
        <v>125</v>
      </c>
      <c r="C27" s="23">
        <v>0.9</v>
      </c>
      <c r="H27" s="5"/>
      <c r="I27" t="s">
        <v>219</v>
      </c>
      <c r="J27">
        <f t="array" ref="J27">INDEX(LINEST(Table2x4[CU],Table2x4[RCR]^{1,2,3}),1,2)</f>
        <v>1.4102564102564146</v>
      </c>
      <c r="K27">
        <f>INDEX(LINEST(Table2x4[CU1],Table2x4[RCR]^{1,2,3}),1,2)</f>
        <v>2.0273892773892843</v>
      </c>
      <c r="L27">
        <f>INDEX(LINEST(Table2x4[CU2],Table2x4[RCR]^{1,2,3}),1,2)</f>
        <v>2.7156177156177161</v>
      </c>
      <c r="M27">
        <f>INDEX(LINEST(Table2x4[CU3],Table2x4[RCR]^{1,2,3}),1,2)</f>
        <v>1.2803030303030358</v>
      </c>
      <c r="N27">
        <f>INDEX(LINEST(Table2x4[CU4],Table2x4[RCR]^{1,2,3}),1,2)</f>
        <v>1.9242424242424336</v>
      </c>
      <c r="O27">
        <f>INDEX(LINEST(Table2x4[CU5],Table2x4[RCR]^{1,2,3}),1,2)</f>
        <v>2.4883449883449962</v>
      </c>
      <c r="P27">
        <f>INDEX(LINEST(Table2x4[CU6],Table2x4[RCR]^{1,2,3}),1,2)</f>
        <v>1.2546620046620127</v>
      </c>
      <c r="Q27">
        <f>INDEX(LINEST(Table2x4[CU7],Table2x4[RCR]^{1,2,3}),1,2)</f>
        <v>1.6847319347319412</v>
      </c>
      <c r="R27">
        <f>INDEX(LINEST(Table2x4[CU8],Table2x4[RCR]^{1,2,3}),1,2)</f>
        <v>2.2296037296037352</v>
      </c>
      <c r="S27">
        <f>INDEX(LINEST(Table2x4[CU9],Table2x4[RCR]^{1,2,3}),1,2)</f>
        <v>1.0763403263403297</v>
      </c>
      <c r="T27">
        <f>INDEX(LINEST(Table2x4[CU10],Table2x4[RCR]^{1,2,3}),1,2)</f>
        <v>1.5501165501165566</v>
      </c>
      <c r="U27">
        <f>INDEX(LINEST(Table2x4[CU11],Table2x4[RCR]^{1,2,3}),1,2)</f>
        <v>1.9195804195804262</v>
      </c>
      <c r="V27">
        <f>INDEX(LINEST(Table2x4[CU12],Table2x4[RCR]^{1,2,3}),1,2)</f>
        <v>1.1043123543123585</v>
      </c>
      <c r="W27">
        <f>INDEX(LINEST(Table2x4[CU13],Table2x4[RCR]^{1,2,3}),1,2)</f>
        <v>1.4755244755244821</v>
      </c>
      <c r="X27">
        <f>INDEX(LINEST(Table2x4[CU14],Table2x4[RCR]^{1,2,3}),1,2)</f>
        <v>1.6427738927738949</v>
      </c>
      <c r="Z27" t="s">
        <v>219</v>
      </c>
      <c r="AA27">
        <f>INDEX(LINEST(Table2x2[CU],Table2x2[RCR]^{1,2,3}),1,2)</f>
        <v>1.3181818181818279</v>
      </c>
      <c r="AB27">
        <f>INDEX(LINEST(Table2x2[CU1],Table2x2[RCR]^{1,2,3}),1,2)</f>
        <v>1.9702797202797266</v>
      </c>
      <c r="AC27">
        <f>INDEX(LINEST(Table2x2[CU2],Table2x2[RCR]^{1,2,3}),1,2)</f>
        <v>2.5990675990676015</v>
      </c>
      <c r="AD27">
        <f>INDEX(LINEST(Table2x2[CU3],Table2x2[RCR]^{1,2,3}),1,2)</f>
        <v>1.2249417249417325</v>
      </c>
      <c r="AE27">
        <f>INDEX(LINEST(Table2x2[CU4],Table2x2[RCR]^{1,2,3}),1,2)</f>
        <v>1.8729603729603772</v>
      </c>
      <c r="AF27">
        <f>INDEX(LINEST(Table2x2[CU5],Table2x2[RCR]^{1,2,3}),1,2)</f>
        <v>2.4114219114219146</v>
      </c>
      <c r="AG27">
        <f>INDEX(LINEST(Table2x2[CU6],Table2x2[RCR]^{1,2,3}),1,2)</f>
        <v>1.2109557109557152</v>
      </c>
      <c r="AH27">
        <f>INDEX(LINEST(Table2x2[CU7],Table2x2[RCR]^{1,2,3}),1,2)</f>
        <v>1.6847319347319412</v>
      </c>
      <c r="AI27">
        <f>INDEX(LINEST(Table2x2[CU8],Table2x2[RCR]^{1,2,3}),1,2)</f>
        <v>2.1555944055944094</v>
      </c>
      <c r="AJ27">
        <f>INDEX(LINEST(Table2x2[CU9],Table2x2[RCR]^{1,2,3}),1,2)</f>
        <v>1.0110722610722638</v>
      </c>
      <c r="AK27">
        <f>INDEX(LINEST(Table2x2[CU10],Table2x2[RCR]^{1,2,3}),1,2)</f>
        <v>1.4784382284382334</v>
      </c>
      <c r="AL27">
        <f>INDEX(LINEST(Table2x2[CU11],Table2x2[RCR]^{1,2,3}),1,2)</f>
        <v>1.86713286713287</v>
      </c>
      <c r="AM27">
        <f>INDEX(LINEST(Table2x2[CU12],Table2x2[RCR]^{1,2,3}),1,2)</f>
        <v>1.0821678321678359</v>
      </c>
      <c r="AN27">
        <f>INDEX(LINEST(Table2x2[CU13],Table2x2[RCR]^{1,2,3}),1,2)</f>
        <v>1.3362470862470894</v>
      </c>
      <c r="AO27">
        <f>INDEX(LINEST(Table2x2[CU14],Table2x2[RCR]^{1,2,3}),1,2)</f>
        <v>1.6864801864801862</v>
      </c>
      <c r="AQ27" t="s">
        <v>219</v>
      </c>
      <c r="AR27">
        <f>INDEX(LINEST(Table1x4[CU],Table1x4[RCR]^{1,2,3}),1,2)</f>
        <v>1.2179487179487198</v>
      </c>
      <c r="AS27">
        <f>INDEX(LINEST(Table1x4[CU1],Table1x4[RCR]^{1,2,3}),1,2)</f>
        <v>1.9108391608391677</v>
      </c>
      <c r="AT27">
        <f>INDEX(LINEST(Table1x4[CU2],Table1x4[RCR]^{1,2,3}),1,2)</f>
        <v>2.4096736596736665</v>
      </c>
      <c r="AU27">
        <f>INDEX(LINEST(Table1x4[CU3],Table1x4[RCR]^{1,2,3}),1,2)</f>
        <v>1.1713286713286721</v>
      </c>
      <c r="AV27">
        <f>INDEX(LINEST(Table1x4[CU4],Table1x4[RCR]^{1,2,3}),1,2)</f>
        <v>1.7051282051282128</v>
      </c>
      <c r="AW27">
        <f>INDEX(LINEST(Table1x4[CU5],Table1x4[RCR]^{1,2,3}),1,2)</f>
        <v>2.3065268065268132</v>
      </c>
      <c r="AX27">
        <f>INDEX(LINEST(Table1x4[CU6],Table1x4[RCR]^{1,2,3}),1,2)</f>
        <v>1.0227272727272736</v>
      </c>
      <c r="AY27">
        <f>INDEX(LINEST(Table1x4[CU7],Table1x4[RCR]^{1,2,3}),1,2)</f>
        <v>1.5600233100233101</v>
      </c>
      <c r="AZ27">
        <f>INDEX(LINEST(Table1x4[CU8],Table1x4[RCR]^{1,2,3}),1,2)</f>
        <v>2.026223776223778</v>
      </c>
      <c r="BA27">
        <f>INDEX(LINEST(Table1x4[CU9],Table1x4[RCR]^{1,2,3}),1,2)</f>
        <v>0.97144522144522616</v>
      </c>
      <c r="BB27">
        <f>INDEX(LINEST(Table1x4[CU10],Table1x4[RCR]^{1,2,3}),1,2)</f>
        <v>1.3310023310023333</v>
      </c>
      <c r="BC27">
        <f>INDEX(LINEST(Table1x4[CU11],Table1x4[RCR]^{1,2,3}),1,2)</f>
        <v>1.6148018648018685</v>
      </c>
      <c r="BD27">
        <f>INDEX(LINEST(Table1x4[CU12],Table1x4[RCR]^{1,2,3}),1,2)</f>
        <v>0.99941724941725407</v>
      </c>
      <c r="BE27">
        <f>INDEX(LINEST(Table1x4[CU13],Table1x4[RCR]^{1,2,3}),1,2)</f>
        <v>1.2068764568764607</v>
      </c>
      <c r="BF27">
        <f>INDEX(LINEST(Table1x4[CU14],Table1x4[RCR]^{1,2,3}),1,2)</f>
        <v>1.4988344988345033</v>
      </c>
    </row>
    <row r="28" spans="1:63" x14ac:dyDescent="0.25">
      <c r="C28" s="3"/>
      <c r="H28" s="5"/>
      <c r="I28" t="s">
        <v>220</v>
      </c>
      <c r="J28">
        <f t="array" ref="J28">INDEX(LINEST(Table2x4[CU],Table2x4[RCR]^{1,2,3}),1,3)</f>
        <v>-17.15112665112666</v>
      </c>
      <c r="K28">
        <f>INDEX(LINEST(Table2x4[CU1],Table2x4[RCR]^{1,2,3}),1,3)</f>
        <v>-21.362859362859382</v>
      </c>
      <c r="L28">
        <f>INDEX(LINEST(Table2x4[CU2],Table2x4[RCR]^{1,2,3}),1,3)</f>
        <v>-25.218725718725707</v>
      </c>
      <c r="M28">
        <f>INDEX(LINEST(Table2x4[CU3],Table2x4[RCR]^{1,2,3}),1,3)</f>
        <v>-16.336441336441357</v>
      </c>
      <c r="N28">
        <f>INDEX(LINEST(Table2x4[CU4],Table2x4[RCR]^{1,2,3}),1,3)</f>
        <v>-20.410256410256444</v>
      </c>
      <c r="O28">
        <f>INDEX(LINEST(Table2x4[CU5],Table2x4[RCR]^{1,2,3}),1,3)</f>
        <v>-23.863636363636388</v>
      </c>
      <c r="P28">
        <f>INDEX(LINEST(Table2x4[CU6],Table2x4[RCR]^{1,2,3}),1,3)</f>
        <v>-15.653069153069183</v>
      </c>
      <c r="Q28">
        <f>INDEX(LINEST(Table2x4[CU7],Table2x4[RCR]^{1,2,3}),1,3)</f>
        <v>-18.7777777777778</v>
      </c>
      <c r="R28">
        <f>INDEX(LINEST(Table2x4[CU8],Table2x4[RCR]^{1,2,3}),1,3)</f>
        <v>-22.029914529914546</v>
      </c>
      <c r="S28">
        <f>INDEX(LINEST(Table2x4[CU9],Table2x4[RCR]^{1,2,3}),1,3)</f>
        <v>-14.308469308469318</v>
      </c>
      <c r="T28">
        <f>INDEX(LINEST(Table2x4[CU10],Table2x4[RCR]^{1,2,3}),1,3)</f>
        <v>-17.437451437451458</v>
      </c>
      <c r="U28">
        <f>INDEX(LINEST(Table2x4[CU11],Table2x4[RCR]^{1,2,3}),1,3)</f>
        <v>-20.008158508158527</v>
      </c>
      <c r="V28">
        <f>INDEX(LINEST(Table2x4[CU12],Table2x4[RCR]^{1,2,3}),1,3)</f>
        <v>-13.927350427350442</v>
      </c>
      <c r="W28">
        <f>INDEX(LINEST(Table2x4[CU13],Table2x4[RCR]^{1,2,3}),1,3)</f>
        <v>-16.526029526029543</v>
      </c>
      <c r="X28">
        <f>INDEX(LINEST(Table2x4[CU14],Table2x4[RCR]^{1,2,3}),1,3)</f>
        <v>-18.192696192696193</v>
      </c>
      <c r="Z28" t="s">
        <v>220</v>
      </c>
      <c r="AA28">
        <f>INDEX(LINEST(Table2x2[CU],Table2x2[RCR]^{1,2,3}),1,3)</f>
        <v>-16.870240870240906</v>
      </c>
      <c r="AB28">
        <f>INDEX(LINEST(Table2x2[CU1],Table2x2[RCR]^{1,2,3}),1,3)</f>
        <v>-21.142579642579662</v>
      </c>
      <c r="AC28">
        <f>INDEX(LINEST(Table2x2[CU2],Table2x2[RCR]^{1,2,3}),1,3)</f>
        <v>-24.738539238539236</v>
      </c>
      <c r="AD28">
        <f>INDEX(LINEST(Table2x2[CU3],Table2x2[RCR]^{1,2,3}),1,3)</f>
        <v>-15.95415695415698</v>
      </c>
      <c r="AE28">
        <f>INDEX(LINEST(Table2x2[CU4],Table2x2[RCR]^{1,2,3}),1,3)</f>
        <v>-20.158896658896669</v>
      </c>
      <c r="AF28">
        <f>INDEX(LINEST(Table2x2[CU5],Table2x2[RCR]^{1,2,3}),1,3)</f>
        <v>-23.518259518259519</v>
      </c>
      <c r="AG28">
        <f>INDEX(LINEST(Table2x2[CU6],Table2x2[RCR]^{1,2,3}),1,3)</f>
        <v>-15.387334887334902</v>
      </c>
      <c r="AH28">
        <f>INDEX(LINEST(Table2x2[CU7],Table2x2[RCR]^{1,2,3}),1,3)</f>
        <v>-18.7777777777778</v>
      </c>
      <c r="AI28">
        <f>INDEX(LINEST(Table2x2[CU8],Table2x2[RCR]^{1,2,3}),1,3)</f>
        <v>-21.722610722610728</v>
      </c>
      <c r="AJ28">
        <f>INDEX(LINEST(Table2x2[CU9],Table2x2[RCR]^{1,2,3}),1,3)</f>
        <v>-14.079642579642584</v>
      </c>
      <c r="AK28">
        <f>INDEX(LINEST(Table2x2[CU10],Table2x2[RCR]^{1,2,3}),1,3)</f>
        <v>-17.189199689199704</v>
      </c>
      <c r="AL28">
        <f>INDEX(LINEST(Table2x2[CU11],Table2x2[RCR]^{1,2,3}),1,3)</f>
        <v>-19.600621600621601</v>
      </c>
      <c r="AM28">
        <f>INDEX(LINEST(Table2x2[CU12],Table2x2[RCR]^{1,2,3}),1,3)</f>
        <v>-13.85042735042736</v>
      </c>
      <c r="AN28">
        <f>INDEX(LINEST(Table2x2[CU13],Table2x2[RCR]^{1,2,3}),1,3)</f>
        <v>-15.989898989898995</v>
      </c>
      <c r="AO28">
        <f>INDEX(LINEST(Table2x2[CU14],Table2x2[RCR]^{1,2,3}),1,3)</f>
        <v>-18.232711732711724</v>
      </c>
      <c r="AQ28" t="s">
        <v>220</v>
      </c>
      <c r="AR28">
        <f>INDEX(LINEST(Table1x4[CU],Table1x4[RCR]^{1,2,3}),1,3)</f>
        <v>-16.291763791763788</v>
      </c>
      <c r="AS28">
        <f>INDEX(LINEST(Table1x4[CU1],Table1x4[RCR]^{1,2,3}),1,3)</f>
        <v>-20.692696192696214</v>
      </c>
      <c r="AT28">
        <f>INDEX(LINEST(Table1x4[CU2],Table1x4[RCR]^{1,2,3}),1,3)</f>
        <v>-23.91724941724944</v>
      </c>
      <c r="AU28">
        <f>INDEX(LINEST(Table1x4[CU3],Table1x4[RCR]^{1,2,3}),1,3)</f>
        <v>-15.679487179487174</v>
      </c>
      <c r="AV28">
        <f>INDEX(LINEST(Table1x4[CU4],Table1x4[RCR]^{1,2,3}),1,3)</f>
        <v>-19.399766899766927</v>
      </c>
      <c r="AW28">
        <f>INDEX(LINEST(Table1x4[CU5],Table1x4[RCR]^{1,2,3}),1,3)</f>
        <v>-22.964646464646489</v>
      </c>
      <c r="AX28">
        <f>INDEX(LINEST(Table1x4[CU6],Table1x4[RCR]^{1,2,3}),1,3)</f>
        <v>-14.623154623154621</v>
      </c>
      <c r="AY28">
        <f>INDEX(LINEST(Table1x4[CU7],Table1x4[RCR]^{1,2,3}),1,3)</f>
        <v>-18.099067599067588</v>
      </c>
      <c r="AZ28">
        <f>INDEX(LINEST(Table1x4[CU8],Table1x4[RCR]^{1,2,3}),1,3)</f>
        <v>-21.068764568764564</v>
      </c>
      <c r="BA28">
        <f>INDEX(LINEST(Table1x4[CU9],Table1x4[RCR]^{1,2,3}),1,3)</f>
        <v>-13.75485625485627</v>
      </c>
      <c r="BB28">
        <f>INDEX(LINEST(Table1x4[CU10],Table1x4[RCR]^{1,2,3}),1,3)</f>
        <v>-16.42696192696193</v>
      </c>
      <c r="BC28">
        <f>INDEX(LINEST(Table1x4[CU11],Table1x4[RCR]^{1,2,3}),1,3)</f>
        <v>-18.57381507381508</v>
      </c>
      <c r="BD28">
        <f>INDEX(LINEST(Table1x4[CU12],Table1x4[RCR]^{1,2,3}),1,3)</f>
        <v>-13.373737373737391</v>
      </c>
      <c r="BE28">
        <f>INDEX(LINEST(Table1x4[CU13],Table1x4[RCR]^{1,2,3}),1,3)</f>
        <v>-15.336052836052847</v>
      </c>
      <c r="BF28">
        <f>INDEX(LINEST(Table1x4[CU14],Table1x4[RCR]^{1,2,3}),1,3)</f>
        <v>-17.348484848484862</v>
      </c>
    </row>
    <row r="29" spans="1:63" x14ac:dyDescent="0.25">
      <c r="C29" s="3"/>
      <c r="H29" s="5"/>
      <c r="I29" t="s">
        <v>221</v>
      </c>
      <c r="J29">
        <f>INDEX(LINEST(Table2x4[CU],Table2x4[RCR]^{1,2,3}),1,4)</f>
        <v>118.96503496503496</v>
      </c>
      <c r="K29">
        <f>INDEX(LINEST(Table2x4[CU1],Table2x4[RCR]^{1,2,3}),1,4)</f>
        <v>118.69930069930069</v>
      </c>
      <c r="L29">
        <f>INDEX(LINEST(Table2x4[CU2],Table2x4[RCR]^{1,2,3}),1,4)</f>
        <v>118.28671328671325</v>
      </c>
      <c r="M29">
        <f>INDEX(LINEST(Table2x4[CU3],Table2x4[RCR]^{1,2,3}),1,4)</f>
        <v>115.99300699300701</v>
      </c>
      <c r="N29">
        <f>INDEX(LINEST(Table2x4[CU4],Table2x4[RCR]^{1,2,3}),1,4)</f>
        <v>115.80419580419581</v>
      </c>
      <c r="O29">
        <f>INDEX(LINEST(Table2x4[CU5],Table2x4[RCR]^{1,2,3}),1,4)</f>
        <v>115.60839160839163</v>
      </c>
      <c r="P29">
        <f>INDEX(LINEST(Table2x4[CU6],Table2x4[RCR]^{1,2,3}),1,4)</f>
        <v>111.21678321678321</v>
      </c>
      <c r="Q29">
        <f>INDEX(LINEST(Table2x4[CU7],Table2x4[RCR]^{1,2,3}),1,4)</f>
        <v>110.91608391608392</v>
      </c>
      <c r="R29">
        <f>INDEX(LINEST(Table2x4[CU8],Table2x4[RCR]^{1,2,3}),1,4)</f>
        <v>110.89510489510491</v>
      </c>
      <c r="S29">
        <f>INDEX(LINEST(Table2x4[CU9],Table2x4[RCR]^{1,2,3}),1,4)</f>
        <v>106.02097902097901</v>
      </c>
      <c r="T29">
        <f>INDEX(LINEST(Table2x4[CU10],Table2x4[RCR]^{1,2,3}),1,4)</f>
        <v>105.98601398601399</v>
      </c>
      <c r="U29">
        <f>INDEX(LINEST(Table2x4[CU11],Table2x4[RCR]^{1,2,3}),1,4)</f>
        <v>106</v>
      </c>
      <c r="V29">
        <f>INDEX(LINEST(Table2x4[CU12],Table2x4[RCR]^{1,2,3}),1,4)</f>
        <v>101.91608391608392</v>
      </c>
      <c r="W29">
        <f>INDEX(LINEST(Table2x4[CU13],Table2x4[RCR]^{1,2,3}),1,4)</f>
        <v>101.94405594405595</v>
      </c>
      <c r="X29">
        <f>INDEX(LINEST(Table2x4[CU14],Table2x4[RCR]^{1,2,3}),1,4)</f>
        <v>101.72727272727271</v>
      </c>
      <c r="Z29" t="s">
        <v>221</v>
      </c>
      <c r="AA29">
        <f>INDEX(LINEST(Table2x2[CU],Table2x2[RCR]^{1,2,3}),1,4)</f>
        <v>119.13286713286716</v>
      </c>
      <c r="AB29">
        <f>INDEX(LINEST(Table2x2[CU1],Table2x2[RCR]^{1,2,3}),1,4)</f>
        <v>118.58741258741259</v>
      </c>
      <c r="AC29">
        <f>INDEX(LINEST(Table2x2[CU2],Table2x2[RCR]^{1,2,3}),1,4)</f>
        <v>118.2237762237762</v>
      </c>
      <c r="AD29">
        <f>INDEX(LINEST(Table2x2[CU3],Table2x2[RCR]^{1,2,3}),1,4)</f>
        <v>115.81118881118881</v>
      </c>
      <c r="AE29">
        <f>INDEX(LINEST(Table2x2[CU4],Table2x2[RCR]^{1,2,3}),1,4)</f>
        <v>115.68531468531467</v>
      </c>
      <c r="AF29">
        <f>INDEX(LINEST(Table2x2[CU5],Table2x2[RCR]^{1,2,3}),1,4)</f>
        <v>115.58041958041954</v>
      </c>
      <c r="AG29">
        <f>INDEX(LINEST(Table2x2[CU6],Table2x2[RCR]^{1,2,3}),1,4)</f>
        <v>111.11888111888115</v>
      </c>
      <c r="AH29">
        <f>INDEX(LINEST(Table2x2[CU7],Table2x2[RCR]^{1,2,3}),1,4)</f>
        <v>110.91608391608392</v>
      </c>
      <c r="AI29">
        <f>INDEX(LINEST(Table2x2[CU8],Table2x2[RCR]^{1,2,3}),1,4)</f>
        <v>110.81118881118879</v>
      </c>
      <c r="AJ29">
        <f>INDEX(LINEST(Table2x2[CU9],Table2x2[RCR]^{1,2,3}),1,4)</f>
        <v>106.07692307692307</v>
      </c>
      <c r="AK29">
        <f>INDEX(LINEST(Table2x2[CU10],Table2x2[RCR]^{1,2,3}),1,4)</f>
        <v>106.17482517482517</v>
      </c>
      <c r="AL29">
        <f>INDEX(LINEST(Table2x2[CU11],Table2x2[RCR]^{1,2,3}),1,4)</f>
        <v>105.82517482517478</v>
      </c>
      <c r="AM29">
        <f>INDEX(LINEST(Table2x2[CU12],Table2x2[RCR]^{1,2,3}),1,4)</f>
        <v>102.16783216783217</v>
      </c>
      <c r="AN29">
        <f>INDEX(LINEST(Table2x2[CU13],Table2x2[RCR]^{1,2,3}),1,4)</f>
        <v>101.91608391608392</v>
      </c>
      <c r="AO29">
        <f>INDEX(LINEST(Table2x2[CU14],Table2x2[RCR]^{1,2,3}),1,4)</f>
        <v>101.77622377622373</v>
      </c>
      <c r="AQ29" t="s">
        <v>221</v>
      </c>
      <c r="AR29">
        <f>INDEX(LINEST(Table1x4[CU],Table1x4[RCR]^{1,2,3}),1,4)</f>
        <v>119.02797202797203</v>
      </c>
      <c r="AS29">
        <f>INDEX(LINEST(Table1x4[CU1],Table1x4[RCR]^{1,2,3}),1,4)</f>
        <v>118.82517482517484</v>
      </c>
      <c r="AT29">
        <f>INDEX(LINEST(Table1x4[CU2],Table1x4[RCR]^{1,2,3}),1,4)</f>
        <v>118.68531468531467</v>
      </c>
      <c r="AU29">
        <f>INDEX(LINEST(Table1x4[CU3],Table1x4[RCR]^{1,2,3}),1,4)</f>
        <v>116.20279720279719</v>
      </c>
      <c r="AV29">
        <f>INDEX(LINEST(Table1x4[CU4],Table1x4[RCR]^{1,2,3}),1,4)</f>
        <v>115.80419580419581</v>
      </c>
      <c r="AW29">
        <f>INDEX(LINEST(Table1x4[CU5],Table1x4[RCR]^{1,2,3}),1,4)</f>
        <v>115.79020979020979</v>
      </c>
      <c r="AX29">
        <f>INDEX(LINEST(Table1x4[CU6],Table1x4[RCR]^{1,2,3}),1,4)</f>
        <v>111.27972027972025</v>
      </c>
      <c r="AY29">
        <f>INDEX(LINEST(Table1x4[CU7],Table1x4[RCR]^{1,2,3}),1,4)</f>
        <v>111.20979020979019</v>
      </c>
      <c r="AZ29">
        <f>INDEX(LINEST(Table1x4[CU8],Table1x4[RCR]^{1,2,3}),1,4)</f>
        <v>110.96503496503493</v>
      </c>
      <c r="BA29">
        <f>INDEX(LINEST(Table1x4[CU9],Table1x4[RCR]^{1,2,3}),1,4)</f>
        <v>106.23076923076923</v>
      </c>
      <c r="BB29">
        <f>INDEX(LINEST(Table1x4[CU10],Table1x4[RCR]^{1,2,3}),1,4)</f>
        <v>105.98601398601397</v>
      </c>
      <c r="BC29">
        <f>INDEX(LINEST(Table1x4[CU11],Table1x4[RCR]^{1,2,3}),1,4)</f>
        <v>105.83216783216783</v>
      </c>
      <c r="BD29">
        <f>INDEX(LINEST(Table1x4[CU12],Table1x4[RCR]^{1,2,3}),1,4)</f>
        <v>102.12587412587412</v>
      </c>
      <c r="BE29">
        <f>INDEX(LINEST(Table1x4[CU13],Table1x4[RCR]^{1,2,3}),1,4)</f>
        <v>102.06993006993007</v>
      </c>
      <c r="BF29">
        <f>INDEX(LINEST(Table1x4[CU14],Table1x4[RCR]^{1,2,3}),1,4)</f>
        <v>101.97902097902099</v>
      </c>
    </row>
    <row r="30" spans="1:63" x14ac:dyDescent="0.25">
      <c r="A30" s="26" t="s">
        <v>126</v>
      </c>
      <c r="B30" s="27"/>
      <c r="C30" s="28"/>
      <c r="D30" s="27"/>
      <c r="H30" s="5"/>
      <c r="I30" t="s">
        <v>222</v>
      </c>
      <c r="J30" t="e">
        <f t="shared" ref="J30:X30" si="3">$C$16</f>
        <v>#DIV/0!</v>
      </c>
      <c r="K30" t="e">
        <f t="shared" si="3"/>
        <v>#DIV/0!</v>
      </c>
      <c r="L30" t="e">
        <f t="shared" si="3"/>
        <v>#DIV/0!</v>
      </c>
      <c r="M30" t="e">
        <f t="shared" si="3"/>
        <v>#DIV/0!</v>
      </c>
      <c r="N30" t="e">
        <f t="shared" si="3"/>
        <v>#DIV/0!</v>
      </c>
      <c r="O30" t="e">
        <f t="shared" si="3"/>
        <v>#DIV/0!</v>
      </c>
      <c r="P30" t="e">
        <f t="shared" si="3"/>
        <v>#DIV/0!</v>
      </c>
      <c r="Q30" t="e">
        <f t="shared" si="3"/>
        <v>#DIV/0!</v>
      </c>
      <c r="R30" t="e">
        <f t="shared" si="3"/>
        <v>#DIV/0!</v>
      </c>
      <c r="S30" t="e">
        <f t="shared" si="3"/>
        <v>#DIV/0!</v>
      </c>
      <c r="T30" t="e">
        <f t="shared" si="3"/>
        <v>#DIV/0!</v>
      </c>
      <c r="U30" t="e">
        <f t="shared" si="3"/>
        <v>#DIV/0!</v>
      </c>
      <c r="V30" t="e">
        <f t="shared" si="3"/>
        <v>#DIV/0!</v>
      </c>
      <c r="W30" t="e">
        <f t="shared" si="3"/>
        <v>#DIV/0!</v>
      </c>
      <c r="X30" t="e">
        <f t="shared" si="3"/>
        <v>#DIV/0!</v>
      </c>
      <c r="Z30" t="s">
        <v>222</v>
      </c>
      <c r="AA30" t="e">
        <f t="shared" ref="AA30:AO30" si="4">$C$16</f>
        <v>#DIV/0!</v>
      </c>
      <c r="AB30" t="e">
        <f t="shared" si="4"/>
        <v>#DIV/0!</v>
      </c>
      <c r="AC30" t="e">
        <f t="shared" si="4"/>
        <v>#DIV/0!</v>
      </c>
      <c r="AD30" t="e">
        <f t="shared" si="4"/>
        <v>#DIV/0!</v>
      </c>
      <c r="AE30" t="e">
        <f t="shared" si="4"/>
        <v>#DIV/0!</v>
      </c>
      <c r="AF30" t="e">
        <f t="shared" si="4"/>
        <v>#DIV/0!</v>
      </c>
      <c r="AG30" t="e">
        <f t="shared" si="4"/>
        <v>#DIV/0!</v>
      </c>
      <c r="AH30" t="e">
        <f t="shared" si="4"/>
        <v>#DIV/0!</v>
      </c>
      <c r="AI30" t="e">
        <f t="shared" si="4"/>
        <v>#DIV/0!</v>
      </c>
      <c r="AJ30" t="e">
        <f t="shared" si="4"/>
        <v>#DIV/0!</v>
      </c>
      <c r="AK30" t="e">
        <f t="shared" si="4"/>
        <v>#DIV/0!</v>
      </c>
      <c r="AL30" t="e">
        <f t="shared" si="4"/>
        <v>#DIV/0!</v>
      </c>
      <c r="AM30" t="e">
        <f t="shared" si="4"/>
        <v>#DIV/0!</v>
      </c>
      <c r="AN30" t="e">
        <f t="shared" si="4"/>
        <v>#DIV/0!</v>
      </c>
      <c r="AO30" t="e">
        <f t="shared" si="4"/>
        <v>#DIV/0!</v>
      </c>
      <c r="AQ30" t="s">
        <v>222</v>
      </c>
      <c r="AR30" t="e">
        <f t="shared" ref="AR30:BF30" si="5">$C$16</f>
        <v>#DIV/0!</v>
      </c>
      <c r="AS30" t="e">
        <f t="shared" si="5"/>
        <v>#DIV/0!</v>
      </c>
      <c r="AT30" t="e">
        <f t="shared" si="5"/>
        <v>#DIV/0!</v>
      </c>
      <c r="AU30" t="e">
        <f t="shared" si="5"/>
        <v>#DIV/0!</v>
      </c>
      <c r="AV30" t="e">
        <f t="shared" si="5"/>
        <v>#DIV/0!</v>
      </c>
      <c r="AW30" t="e">
        <f t="shared" si="5"/>
        <v>#DIV/0!</v>
      </c>
      <c r="AX30" t="e">
        <f t="shared" si="5"/>
        <v>#DIV/0!</v>
      </c>
      <c r="AY30" t="e">
        <f t="shared" si="5"/>
        <v>#DIV/0!</v>
      </c>
      <c r="AZ30" t="e">
        <f t="shared" si="5"/>
        <v>#DIV/0!</v>
      </c>
      <c r="BA30" t="e">
        <f t="shared" si="5"/>
        <v>#DIV/0!</v>
      </c>
      <c r="BB30" t="e">
        <f t="shared" si="5"/>
        <v>#DIV/0!</v>
      </c>
      <c r="BC30" t="e">
        <f t="shared" si="5"/>
        <v>#DIV/0!</v>
      </c>
      <c r="BD30" t="e">
        <f t="shared" si="5"/>
        <v>#DIV/0!</v>
      </c>
      <c r="BE30" t="e">
        <f t="shared" si="5"/>
        <v>#DIV/0!</v>
      </c>
      <c r="BF30" t="e">
        <f t="shared" si="5"/>
        <v>#DIV/0!</v>
      </c>
      <c r="BG30" s="27"/>
      <c r="BH30" s="27"/>
      <c r="BI30" s="27"/>
      <c r="BJ30" s="27"/>
      <c r="BK30" s="27"/>
    </row>
    <row r="31" spans="1:63" x14ac:dyDescent="0.25">
      <c r="B31" t="s">
        <v>10</v>
      </c>
      <c r="C31" s="22"/>
      <c r="H31" s="5"/>
    </row>
    <row r="32" spans="1:63" x14ac:dyDescent="0.25">
      <c r="B32" t="s">
        <v>113</v>
      </c>
      <c r="C32" s="1" t="e">
        <f>C22*C24/100*C31*C27/C13</f>
        <v>#N/A</v>
      </c>
      <c r="D32" t="s">
        <v>1</v>
      </c>
      <c r="I32" t="s">
        <v>11</v>
      </c>
      <c r="J32" t="s">
        <v>12</v>
      </c>
      <c r="K32" t="s">
        <v>143</v>
      </c>
      <c r="L32" t="s">
        <v>13</v>
      </c>
    </row>
    <row r="33" spans="1:63" x14ac:dyDescent="0.25">
      <c r="B33" t="s">
        <v>130</v>
      </c>
      <c r="C33" s="4" t="e">
        <f>C31*C23</f>
        <v>#N/A</v>
      </c>
      <c r="D33" t="s">
        <v>132</v>
      </c>
      <c r="H33" t="s">
        <v>13</v>
      </c>
      <c r="I33">
        <v>80</v>
      </c>
      <c r="J33">
        <v>50</v>
      </c>
      <c r="K33">
        <v>24</v>
      </c>
      <c r="L33" t="e">
        <f>J25</f>
        <v>#DIV/0!</v>
      </c>
    </row>
    <row r="34" spans="1:63" ht="17.25" x14ac:dyDescent="0.25">
      <c r="B34" t="s">
        <v>110</v>
      </c>
      <c r="C34" s="14" t="e">
        <f>C23*C31/C13</f>
        <v>#N/A</v>
      </c>
      <c r="D34" t="s">
        <v>111</v>
      </c>
      <c r="H34" t="s">
        <v>16</v>
      </c>
      <c r="I34">
        <v>80</v>
      </c>
      <c r="J34">
        <v>30</v>
      </c>
      <c r="K34">
        <v>24</v>
      </c>
      <c r="L34" t="e">
        <f>K25</f>
        <v>#DIV/0!</v>
      </c>
    </row>
    <row r="35" spans="1:63" x14ac:dyDescent="0.25">
      <c r="C35" s="1"/>
      <c r="H35" t="s">
        <v>17</v>
      </c>
      <c r="I35">
        <v>80</v>
      </c>
      <c r="J35">
        <v>10</v>
      </c>
      <c r="K35">
        <v>24</v>
      </c>
      <c r="L35" t="e">
        <f>L25</f>
        <v>#DIV/0!</v>
      </c>
    </row>
    <row r="36" spans="1:63" x14ac:dyDescent="0.25">
      <c r="C36" s="1"/>
      <c r="H36" t="s">
        <v>18</v>
      </c>
      <c r="I36">
        <v>70</v>
      </c>
      <c r="J36">
        <v>50</v>
      </c>
      <c r="K36">
        <v>24</v>
      </c>
      <c r="L36" t="e">
        <f>M25</f>
        <v>#DIV/0!</v>
      </c>
    </row>
    <row r="37" spans="1:63" x14ac:dyDescent="0.25">
      <c r="A37" s="26" t="s">
        <v>127</v>
      </c>
      <c r="B37" s="27"/>
      <c r="C37" s="29"/>
      <c r="D37" s="27"/>
      <c r="H37" t="s">
        <v>19</v>
      </c>
      <c r="I37">
        <v>70</v>
      </c>
      <c r="J37">
        <v>30</v>
      </c>
      <c r="K37">
        <v>24</v>
      </c>
      <c r="L37" t="e">
        <f>N25</f>
        <v>#DIV/0!</v>
      </c>
      <c r="BG37" s="27"/>
      <c r="BH37" s="27"/>
      <c r="BI37" s="27"/>
      <c r="BJ37" s="27"/>
      <c r="BK37" s="27"/>
    </row>
    <row r="38" spans="1:63" x14ac:dyDescent="0.25">
      <c r="A38" s="2"/>
      <c r="B38" t="s">
        <v>119</v>
      </c>
      <c r="C38" s="22"/>
      <c r="D38" t="s">
        <v>1</v>
      </c>
      <c r="E38" s="12" t="e">
        <f>ROUNDUP(C38*C13/C22/C27/C24*100,0)</f>
        <v>#N/A</v>
      </c>
      <c r="H38" t="s">
        <v>20</v>
      </c>
      <c r="I38">
        <v>70</v>
      </c>
      <c r="J38">
        <v>10</v>
      </c>
      <c r="K38">
        <v>24</v>
      </c>
      <c r="L38" t="e">
        <f>O25</f>
        <v>#DIV/0!</v>
      </c>
    </row>
    <row r="39" spans="1:63" x14ac:dyDescent="0.25">
      <c r="B39" t="s">
        <v>122</v>
      </c>
      <c r="C39" t="e">
        <f>IF(E38&gt;E41,E39+1,E39)</f>
        <v>#N/A</v>
      </c>
      <c r="E39" s="12" t="e">
        <f>ROUND(E38/C40,0)</f>
        <v>#N/A</v>
      </c>
      <c r="H39" t="s">
        <v>21</v>
      </c>
      <c r="I39">
        <v>50</v>
      </c>
      <c r="J39">
        <v>50</v>
      </c>
      <c r="K39">
        <v>24</v>
      </c>
      <c r="L39" t="e">
        <f>P25</f>
        <v>#DIV/0!</v>
      </c>
    </row>
    <row r="40" spans="1:63" x14ac:dyDescent="0.25">
      <c r="B40" t="s">
        <v>123</v>
      </c>
      <c r="C40" t="e">
        <f>ROUND(SQRT(E38*C12/C11),0)</f>
        <v>#N/A</v>
      </c>
      <c r="E40" s="12" t="e">
        <f>C40</f>
        <v>#N/A</v>
      </c>
      <c r="H40" t="s">
        <v>22</v>
      </c>
      <c r="I40">
        <v>50</v>
      </c>
      <c r="J40">
        <v>30</v>
      </c>
      <c r="K40">
        <v>24</v>
      </c>
      <c r="L40" t="e">
        <f>Q25</f>
        <v>#DIV/0!</v>
      </c>
    </row>
    <row r="41" spans="1:63" x14ac:dyDescent="0.25">
      <c r="B41" t="s">
        <v>124</v>
      </c>
      <c r="C41" t="e">
        <f>C40*C39</f>
        <v>#N/A</v>
      </c>
      <c r="E41" s="12" t="e">
        <f>E40*E39</f>
        <v>#N/A</v>
      </c>
      <c r="H41" t="s">
        <v>23</v>
      </c>
      <c r="I41">
        <v>50</v>
      </c>
      <c r="J41">
        <v>10</v>
      </c>
      <c r="K41">
        <v>24</v>
      </c>
      <c r="L41" t="e">
        <f>R25</f>
        <v>#DIV/0!</v>
      </c>
    </row>
    <row r="42" spans="1:63" x14ac:dyDescent="0.25">
      <c r="B42" t="s">
        <v>113</v>
      </c>
      <c r="C42" s="1" t="e">
        <f>C22*C24/100*C41*C27/C13</f>
        <v>#N/A</v>
      </c>
      <c r="D42" t="s">
        <v>1</v>
      </c>
      <c r="H42" t="s">
        <v>24</v>
      </c>
      <c r="I42">
        <v>30</v>
      </c>
      <c r="J42">
        <v>50</v>
      </c>
      <c r="K42">
        <v>24</v>
      </c>
      <c r="L42" t="e">
        <f>S25</f>
        <v>#DIV/0!</v>
      </c>
    </row>
    <row r="43" spans="1:63" x14ac:dyDescent="0.25">
      <c r="B43" t="s">
        <v>137</v>
      </c>
      <c r="C43" s="24">
        <v>0</v>
      </c>
      <c r="D43" t="s">
        <v>139</v>
      </c>
      <c r="H43" t="s">
        <v>26</v>
      </c>
      <c r="I43">
        <v>30</v>
      </c>
      <c r="J43">
        <v>30</v>
      </c>
      <c r="K43">
        <v>24</v>
      </c>
      <c r="L43" t="e">
        <f>T25</f>
        <v>#DIV/0!</v>
      </c>
    </row>
    <row r="44" spans="1:63" x14ac:dyDescent="0.25">
      <c r="B44" t="s">
        <v>128</v>
      </c>
      <c r="C44" s="1" t="e">
        <f>IF(C39=1,0,C11/C39)</f>
        <v>#N/A</v>
      </c>
      <c r="D44" t="s">
        <v>8</v>
      </c>
      <c r="E44" s="12">
        <f>IF(C43=90,C25,C26)</f>
        <v>1.3</v>
      </c>
      <c r="F44" s="12">
        <f>E44*(C14-C15)</f>
        <v>-3.25</v>
      </c>
      <c r="H44" t="s">
        <v>25</v>
      </c>
      <c r="I44">
        <v>30</v>
      </c>
      <c r="J44">
        <v>10</v>
      </c>
      <c r="K44">
        <v>24</v>
      </c>
      <c r="L44" t="e">
        <f>U25</f>
        <v>#DIV/0!</v>
      </c>
    </row>
    <row r="45" spans="1:63" x14ac:dyDescent="0.25">
      <c r="B45" t="s">
        <v>129</v>
      </c>
      <c r="C45" s="1" t="e">
        <f>IF(C40=1,0,C12/C40)</f>
        <v>#N/A</v>
      </c>
      <c r="D45" t="s">
        <v>8</v>
      </c>
      <c r="E45" s="12">
        <f>IF(C43=90,C26,C25)</f>
        <v>1.26</v>
      </c>
      <c r="F45" s="12">
        <f>E45*(C14-C15)</f>
        <v>-3.15</v>
      </c>
      <c r="H45" t="s">
        <v>27</v>
      </c>
      <c r="I45">
        <v>10</v>
      </c>
      <c r="J45">
        <v>50</v>
      </c>
      <c r="K45">
        <v>24</v>
      </c>
      <c r="L45" t="e">
        <f>V25</f>
        <v>#DIV/0!</v>
      </c>
    </row>
    <row r="46" spans="1:63" x14ac:dyDescent="0.25">
      <c r="B46" t="s">
        <v>1346</v>
      </c>
      <c r="C46" s="1" t="e">
        <f>IF(C39=1,C5/2,C44/2)</f>
        <v>#N/A</v>
      </c>
      <c r="D46" t="s">
        <v>8</v>
      </c>
      <c r="H46" t="s">
        <v>28</v>
      </c>
      <c r="I46">
        <v>10</v>
      </c>
      <c r="J46">
        <v>30</v>
      </c>
      <c r="K46">
        <v>24</v>
      </c>
      <c r="L46" t="e">
        <f>W25</f>
        <v>#DIV/0!</v>
      </c>
    </row>
    <row r="47" spans="1:63" x14ac:dyDescent="0.25">
      <c r="B47" t="s">
        <v>1347</v>
      </c>
      <c r="C47" s="1" t="e">
        <f>IF(C40=1,C6/2,C45/2)</f>
        <v>#N/A</v>
      </c>
      <c r="D47" t="s">
        <v>8</v>
      </c>
      <c r="H47" t="s">
        <v>29</v>
      </c>
      <c r="I47">
        <v>10</v>
      </c>
      <c r="J47">
        <v>10</v>
      </c>
      <c r="K47">
        <v>24</v>
      </c>
      <c r="L47" t="e">
        <f>X25</f>
        <v>#DIV/0!</v>
      </c>
    </row>
    <row r="48" spans="1:63" x14ac:dyDescent="0.25">
      <c r="B48" t="s">
        <v>130</v>
      </c>
      <c r="C48" s="4" t="e">
        <f>C41*C23</f>
        <v>#N/A</v>
      </c>
      <c r="D48" t="s">
        <v>132</v>
      </c>
      <c r="H48" t="s">
        <v>13</v>
      </c>
      <c r="I48">
        <v>80</v>
      </c>
      <c r="J48">
        <v>50</v>
      </c>
      <c r="K48">
        <v>22</v>
      </c>
      <c r="L48" t="e">
        <f>AA25</f>
        <v>#DIV/0!</v>
      </c>
    </row>
    <row r="49" spans="1:12" ht="15" customHeight="1" x14ac:dyDescent="0.25">
      <c r="B49" t="s">
        <v>110</v>
      </c>
      <c r="C49" s="14" t="e">
        <f>C48/(C11*C12)</f>
        <v>#N/A</v>
      </c>
      <c r="D49" t="s">
        <v>111</v>
      </c>
      <c r="H49" t="s">
        <v>16</v>
      </c>
      <c r="I49">
        <v>80</v>
      </c>
      <c r="J49">
        <v>30</v>
      </c>
      <c r="K49">
        <v>22</v>
      </c>
      <c r="L49" t="e">
        <f>AB25</f>
        <v>#DIV/0!</v>
      </c>
    </row>
    <row r="50" spans="1:12" x14ac:dyDescent="0.25">
      <c r="H50" t="s">
        <v>17</v>
      </c>
      <c r="I50">
        <v>80</v>
      </c>
      <c r="J50">
        <v>10</v>
      </c>
      <c r="K50">
        <v>22</v>
      </c>
      <c r="L50" t="e">
        <f>AC25</f>
        <v>#DIV/0!</v>
      </c>
    </row>
    <row r="51" spans="1:12" x14ac:dyDescent="0.25">
      <c r="H51" t="s">
        <v>18</v>
      </c>
      <c r="I51">
        <v>70</v>
      </c>
      <c r="J51">
        <v>50</v>
      </c>
      <c r="K51">
        <v>22</v>
      </c>
      <c r="L51" t="e">
        <f>AD25</f>
        <v>#DIV/0!</v>
      </c>
    </row>
    <row r="52" spans="1:12" ht="14.25" customHeight="1" x14ac:dyDescent="0.25">
      <c r="A52" s="36" t="s">
        <v>141</v>
      </c>
      <c r="B52" s="36"/>
      <c r="C52" s="36"/>
      <c r="D52" s="36"/>
      <c r="H52" t="s">
        <v>19</v>
      </c>
      <c r="I52">
        <v>70</v>
      </c>
      <c r="J52">
        <v>30</v>
      </c>
      <c r="K52">
        <v>22</v>
      </c>
      <c r="L52" t="e">
        <f>AE25</f>
        <v>#DIV/0!</v>
      </c>
    </row>
    <row r="53" spans="1:12" x14ac:dyDescent="0.25">
      <c r="A53" s="36"/>
      <c r="B53" s="36"/>
      <c r="C53" s="36"/>
      <c r="D53" s="36"/>
      <c r="H53" t="s">
        <v>20</v>
      </c>
      <c r="I53">
        <v>70</v>
      </c>
      <c r="J53">
        <v>10</v>
      </c>
      <c r="K53">
        <v>22</v>
      </c>
      <c r="L53" t="e">
        <f>AF25</f>
        <v>#DIV/0!</v>
      </c>
    </row>
    <row r="54" spans="1:12" x14ac:dyDescent="0.25">
      <c r="A54" s="36"/>
      <c r="B54" s="36"/>
      <c r="C54" s="36"/>
      <c r="D54" s="36"/>
      <c r="H54" t="s">
        <v>21</v>
      </c>
      <c r="I54">
        <v>50</v>
      </c>
      <c r="J54">
        <v>50</v>
      </c>
      <c r="K54">
        <v>22</v>
      </c>
      <c r="L54" t="e">
        <f>AG25</f>
        <v>#DIV/0!</v>
      </c>
    </row>
    <row r="55" spans="1:12" x14ac:dyDescent="0.25">
      <c r="A55" s="36"/>
      <c r="B55" s="36"/>
      <c r="C55" s="36"/>
      <c r="D55" s="36"/>
      <c r="H55" t="s">
        <v>22</v>
      </c>
      <c r="I55">
        <v>50</v>
      </c>
      <c r="J55">
        <v>30</v>
      </c>
      <c r="K55">
        <v>22</v>
      </c>
      <c r="L55" t="e">
        <f>AH25</f>
        <v>#DIV/0!</v>
      </c>
    </row>
    <row r="56" spans="1:12" x14ac:dyDescent="0.25">
      <c r="A56" s="25"/>
      <c r="B56" s="25"/>
      <c r="C56" s="25"/>
      <c r="D56" s="25"/>
      <c r="H56" t="s">
        <v>23</v>
      </c>
      <c r="I56">
        <v>50</v>
      </c>
      <c r="J56">
        <v>10</v>
      </c>
      <c r="K56">
        <v>22</v>
      </c>
      <c r="L56" t="e">
        <f>AI25</f>
        <v>#DIV/0!</v>
      </c>
    </row>
    <row r="57" spans="1:12" x14ac:dyDescent="0.25">
      <c r="A57" s="25"/>
      <c r="B57" s="25"/>
      <c r="C57" s="25"/>
      <c r="D57" s="25"/>
      <c r="H57" t="s">
        <v>24</v>
      </c>
      <c r="I57">
        <v>30</v>
      </c>
      <c r="J57">
        <v>50</v>
      </c>
      <c r="K57">
        <v>22</v>
      </c>
      <c r="L57" t="e">
        <f>AJ25</f>
        <v>#DIV/0!</v>
      </c>
    </row>
    <row r="58" spans="1:12" x14ac:dyDescent="0.25">
      <c r="H58" t="s">
        <v>26</v>
      </c>
      <c r="I58">
        <v>30</v>
      </c>
      <c r="J58">
        <v>30</v>
      </c>
      <c r="K58">
        <v>22</v>
      </c>
      <c r="L58" t="e">
        <f>AK25</f>
        <v>#DIV/0!</v>
      </c>
    </row>
    <row r="59" spans="1:12" x14ac:dyDescent="0.25">
      <c r="H59" t="s">
        <v>25</v>
      </c>
      <c r="I59">
        <v>30</v>
      </c>
      <c r="J59">
        <v>10</v>
      </c>
      <c r="K59">
        <v>22</v>
      </c>
      <c r="L59" t="e">
        <f>AL25</f>
        <v>#DIV/0!</v>
      </c>
    </row>
    <row r="60" spans="1:12" x14ac:dyDescent="0.25">
      <c r="H60" t="s">
        <v>27</v>
      </c>
      <c r="I60">
        <v>10</v>
      </c>
      <c r="J60">
        <v>50</v>
      </c>
      <c r="K60">
        <v>22</v>
      </c>
      <c r="L60" t="e">
        <f>AM25</f>
        <v>#DIV/0!</v>
      </c>
    </row>
    <row r="61" spans="1:12" x14ac:dyDescent="0.25">
      <c r="H61" t="s">
        <v>28</v>
      </c>
      <c r="I61">
        <v>10</v>
      </c>
      <c r="J61">
        <v>30</v>
      </c>
      <c r="K61">
        <v>22</v>
      </c>
      <c r="L61" t="e">
        <f>AN25</f>
        <v>#DIV/0!</v>
      </c>
    </row>
    <row r="62" spans="1:12" x14ac:dyDescent="0.25">
      <c r="H62" t="s">
        <v>29</v>
      </c>
      <c r="I62">
        <v>10</v>
      </c>
      <c r="J62">
        <v>10</v>
      </c>
      <c r="K62">
        <v>22</v>
      </c>
      <c r="L62" t="e">
        <f>AO25</f>
        <v>#DIV/0!</v>
      </c>
    </row>
    <row r="63" spans="1:12" x14ac:dyDescent="0.25">
      <c r="H63" t="s">
        <v>13</v>
      </c>
      <c r="I63">
        <v>80</v>
      </c>
      <c r="J63">
        <v>50</v>
      </c>
      <c r="K63">
        <v>14</v>
      </c>
      <c r="L63" t="e">
        <f>AR25</f>
        <v>#DIV/0!</v>
      </c>
    </row>
    <row r="64" spans="1:12" x14ac:dyDescent="0.25">
      <c r="H64" t="s">
        <v>16</v>
      </c>
      <c r="I64">
        <v>80</v>
      </c>
      <c r="J64">
        <v>30</v>
      </c>
      <c r="K64">
        <v>14</v>
      </c>
      <c r="L64" t="e">
        <f>AS25</f>
        <v>#DIV/0!</v>
      </c>
    </row>
    <row r="65" spans="8:12" x14ac:dyDescent="0.25">
      <c r="H65" t="s">
        <v>17</v>
      </c>
      <c r="I65">
        <v>80</v>
      </c>
      <c r="J65">
        <v>10</v>
      </c>
      <c r="K65">
        <v>14</v>
      </c>
      <c r="L65" t="e">
        <f>AT25</f>
        <v>#DIV/0!</v>
      </c>
    </row>
    <row r="66" spans="8:12" x14ac:dyDescent="0.25">
      <c r="H66" t="s">
        <v>18</v>
      </c>
      <c r="I66">
        <v>70</v>
      </c>
      <c r="J66">
        <v>50</v>
      </c>
      <c r="K66">
        <v>14</v>
      </c>
      <c r="L66" t="e">
        <f>AU25</f>
        <v>#DIV/0!</v>
      </c>
    </row>
    <row r="67" spans="8:12" x14ac:dyDescent="0.25">
      <c r="H67" t="s">
        <v>19</v>
      </c>
      <c r="I67">
        <v>70</v>
      </c>
      <c r="J67">
        <v>30</v>
      </c>
      <c r="K67">
        <v>14</v>
      </c>
      <c r="L67" t="e">
        <f>AV25</f>
        <v>#DIV/0!</v>
      </c>
    </row>
    <row r="68" spans="8:12" x14ac:dyDescent="0.25">
      <c r="H68" t="s">
        <v>20</v>
      </c>
      <c r="I68">
        <v>70</v>
      </c>
      <c r="J68">
        <v>10</v>
      </c>
      <c r="K68">
        <v>14</v>
      </c>
      <c r="L68" t="e">
        <f>AW25</f>
        <v>#DIV/0!</v>
      </c>
    </row>
    <row r="69" spans="8:12" x14ac:dyDescent="0.25">
      <c r="H69" t="s">
        <v>21</v>
      </c>
      <c r="I69">
        <v>50</v>
      </c>
      <c r="J69">
        <v>50</v>
      </c>
      <c r="K69">
        <v>14</v>
      </c>
      <c r="L69" t="e">
        <f>AX25</f>
        <v>#DIV/0!</v>
      </c>
    </row>
    <row r="70" spans="8:12" x14ac:dyDescent="0.25">
      <c r="H70" t="s">
        <v>22</v>
      </c>
      <c r="I70">
        <v>50</v>
      </c>
      <c r="J70">
        <v>30</v>
      </c>
      <c r="K70">
        <v>14</v>
      </c>
      <c r="L70" t="e">
        <f>AY25</f>
        <v>#DIV/0!</v>
      </c>
    </row>
    <row r="71" spans="8:12" x14ac:dyDescent="0.25">
      <c r="H71" t="s">
        <v>23</v>
      </c>
      <c r="I71">
        <v>50</v>
      </c>
      <c r="J71">
        <v>10</v>
      </c>
      <c r="K71">
        <v>14</v>
      </c>
      <c r="L71" t="e">
        <f>AZ25</f>
        <v>#DIV/0!</v>
      </c>
    </row>
    <row r="72" spans="8:12" x14ac:dyDescent="0.25">
      <c r="H72" t="s">
        <v>24</v>
      </c>
      <c r="I72">
        <v>30</v>
      </c>
      <c r="J72">
        <v>50</v>
      </c>
      <c r="K72">
        <v>14</v>
      </c>
      <c r="L72" t="e">
        <f>BA25</f>
        <v>#DIV/0!</v>
      </c>
    </row>
    <row r="73" spans="8:12" x14ac:dyDescent="0.25">
      <c r="H73" t="s">
        <v>26</v>
      </c>
      <c r="I73">
        <v>30</v>
      </c>
      <c r="J73">
        <v>30</v>
      </c>
      <c r="K73">
        <v>14</v>
      </c>
      <c r="L73" t="e">
        <f>BB25</f>
        <v>#DIV/0!</v>
      </c>
    </row>
    <row r="74" spans="8:12" x14ac:dyDescent="0.25">
      <c r="H74" t="s">
        <v>25</v>
      </c>
      <c r="I74">
        <v>30</v>
      </c>
      <c r="J74">
        <v>10</v>
      </c>
      <c r="K74">
        <v>14</v>
      </c>
      <c r="L74" t="e">
        <f>BC25</f>
        <v>#DIV/0!</v>
      </c>
    </row>
    <row r="75" spans="8:12" x14ac:dyDescent="0.25">
      <c r="H75" t="s">
        <v>27</v>
      </c>
      <c r="I75">
        <v>10</v>
      </c>
      <c r="J75">
        <v>50</v>
      </c>
      <c r="K75">
        <v>14</v>
      </c>
      <c r="L75" t="e">
        <f>BD25</f>
        <v>#DIV/0!</v>
      </c>
    </row>
    <row r="76" spans="8:12" x14ac:dyDescent="0.25">
      <c r="H76" t="s">
        <v>28</v>
      </c>
      <c r="I76">
        <v>10</v>
      </c>
      <c r="J76">
        <v>30</v>
      </c>
      <c r="K76">
        <v>14</v>
      </c>
      <c r="L76" t="e">
        <f>BE25</f>
        <v>#DIV/0!</v>
      </c>
    </row>
    <row r="77" spans="8:12" x14ac:dyDescent="0.25">
      <c r="H77" t="s">
        <v>29</v>
      </c>
      <c r="I77">
        <v>10</v>
      </c>
      <c r="J77">
        <v>10</v>
      </c>
      <c r="K77">
        <v>14</v>
      </c>
      <c r="L77" t="e">
        <f>BF25</f>
        <v>#DIV/0!</v>
      </c>
    </row>
    <row r="80" spans="8:12" x14ac:dyDescent="0.25">
      <c r="I80" t="s">
        <v>107</v>
      </c>
      <c r="J80" t="s">
        <v>30</v>
      </c>
      <c r="K80" t="s">
        <v>31</v>
      </c>
    </row>
    <row r="81" spans="9:22" x14ac:dyDescent="0.25">
      <c r="I81" s="16" t="s">
        <v>144</v>
      </c>
      <c r="J81" s="17">
        <v>3069.1656597075444</v>
      </c>
      <c r="K81" s="17">
        <v>25.3</v>
      </c>
    </row>
    <row r="82" spans="9:22" x14ac:dyDescent="0.25">
      <c r="I82" s="16" t="s">
        <v>145</v>
      </c>
      <c r="J82" s="17">
        <v>3711.1960582144006</v>
      </c>
      <c r="K82" s="17">
        <v>28</v>
      </c>
    </row>
    <row r="83" spans="9:22" x14ac:dyDescent="0.25">
      <c r="I83" s="16" t="s">
        <v>146</v>
      </c>
      <c r="J83" s="17">
        <v>4228.8515756256002</v>
      </c>
      <c r="K83" s="17">
        <v>33</v>
      </c>
    </row>
    <row r="84" spans="9:22" x14ac:dyDescent="0.25">
      <c r="I84" s="16" t="s">
        <v>147</v>
      </c>
      <c r="J84" s="17">
        <v>4533.473795235841</v>
      </c>
      <c r="K84" s="17">
        <v>36</v>
      </c>
    </row>
    <row r="85" spans="9:22" x14ac:dyDescent="0.25">
      <c r="I85" s="16" t="s">
        <v>148</v>
      </c>
      <c r="J85" s="17">
        <v>5752.9444976321865</v>
      </c>
      <c r="K85" s="17">
        <v>46</v>
      </c>
    </row>
    <row r="86" spans="9:22" x14ac:dyDescent="0.25">
      <c r="I86" s="16" t="s">
        <v>149</v>
      </c>
      <c r="J86" s="17">
        <v>6722.7089215103997</v>
      </c>
      <c r="K86" s="17">
        <v>52</v>
      </c>
    </row>
    <row r="87" spans="9:22" x14ac:dyDescent="0.25">
      <c r="I87" s="16" t="s">
        <v>150</v>
      </c>
      <c r="J87" s="17">
        <v>7516.4231076479991</v>
      </c>
      <c r="K87" s="17">
        <v>60</v>
      </c>
      <c r="N87" t="s">
        <v>11</v>
      </c>
      <c r="O87" t="s">
        <v>12</v>
      </c>
      <c r="P87" t="s">
        <v>15</v>
      </c>
      <c r="R87" t="s">
        <v>143</v>
      </c>
      <c r="S87" t="s">
        <v>135</v>
      </c>
      <c r="T87" t="s">
        <v>136</v>
      </c>
      <c r="V87" t="s">
        <v>138</v>
      </c>
    </row>
    <row r="88" spans="9:22" x14ac:dyDescent="0.25">
      <c r="I88" s="16" t="s">
        <v>151</v>
      </c>
      <c r="J88" s="17">
        <v>8681.4483185428471</v>
      </c>
      <c r="K88" s="17">
        <v>69.400000000000006</v>
      </c>
      <c r="N88">
        <v>80</v>
      </c>
      <c r="O88">
        <v>50</v>
      </c>
      <c r="P88">
        <v>20</v>
      </c>
      <c r="R88">
        <v>24</v>
      </c>
      <c r="S88">
        <v>1.26</v>
      </c>
      <c r="T88">
        <v>1.28</v>
      </c>
      <c r="V88">
        <v>0</v>
      </c>
    </row>
    <row r="89" spans="9:22" x14ac:dyDescent="0.25">
      <c r="I89" s="16" t="s">
        <v>152</v>
      </c>
      <c r="J89" s="17">
        <v>2218.7030901416142</v>
      </c>
      <c r="K89" s="17">
        <v>18.100000000000001</v>
      </c>
      <c r="N89">
        <v>70</v>
      </c>
      <c r="O89">
        <v>30</v>
      </c>
      <c r="R89">
        <v>22</v>
      </c>
      <c r="S89" s="11">
        <v>1.22</v>
      </c>
      <c r="T89">
        <v>1.3</v>
      </c>
      <c r="V89">
        <v>90</v>
      </c>
    </row>
    <row r="90" spans="9:22" x14ac:dyDescent="0.25">
      <c r="I90" s="16" t="s">
        <v>153</v>
      </c>
      <c r="J90" s="17">
        <v>2893.5367110898806</v>
      </c>
      <c r="K90" s="17">
        <v>24.9</v>
      </c>
      <c r="N90">
        <v>50</v>
      </c>
      <c r="O90">
        <v>10</v>
      </c>
      <c r="R90">
        <v>14</v>
      </c>
      <c r="S90">
        <v>1.26</v>
      </c>
      <c r="T90">
        <v>1.3</v>
      </c>
    </row>
    <row r="91" spans="9:22" x14ac:dyDescent="0.25">
      <c r="I91" s="16" t="s">
        <v>154</v>
      </c>
      <c r="J91" s="17">
        <v>3735.2293417779197</v>
      </c>
      <c r="K91" s="17">
        <v>32</v>
      </c>
      <c r="N91">
        <v>30</v>
      </c>
    </row>
    <row r="92" spans="9:22" x14ac:dyDescent="0.25">
      <c r="I92" s="16" t="s">
        <v>155</v>
      </c>
      <c r="J92" s="17">
        <v>4578.2586216174004</v>
      </c>
      <c r="K92" s="17">
        <v>36.700000000000003</v>
      </c>
      <c r="N92">
        <v>10</v>
      </c>
    </row>
    <row r="93" spans="9:22" x14ac:dyDescent="0.25">
      <c r="I93" s="16" t="s">
        <v>156</v>
      </c>
      <c r="J93" s="17">
        <v>5750.9764675038623</v>
      </c>
      <c r="K93" s="17">
        <v>50.1</v>
      </c>
    </row>
    <row r="94" spans="9:22" x14ac:dyDescent="0.25">
      <c r="I94" s="16" t="s">
        <v>157</v>
      </c>
      <c r="J94" s="17">
        <v>2246.8792155264</v>
      </c>
      <c r="K94" s="17">
        <v>18</v>
      </c>
    </row>
    <row r="95" spans="9:22" x14ac:dyDescent="0.25">
      <c r="I95" s="16" t="s">
        <v>158</v>
      </c>
      <c r="J95" s="17">
        <v>2948.8213343410498</v>
      </c>
      <c r="K95" s="17">
        <v>24.5</v>
      </c>
    </row>
    <row r="96" spans="9:22" x14ac:dyDescent="0.25">
      <c r="I96" s="16" t="s">
        <v>159</v>
      </c>
      <c r="J96" s="17">
        <v>3656.3071852160001</v>
      </c>
      <c r="K96" s="17">
        <v>28</v>
      </c>
    </row>
    <row r="97" spans="9:11" x14ac:dyDescent="0.25">
      <c r="I97" s="16" t="s">
        <v>160</v>
      </c>
      <c r="J97" s="17">
        <v>4466.4233717376001</v>
      </c>
      <c r="K97" s="17">
        <v>36</v>
      </c>
    </row>
    <row r="98" spans="9:11" x14ac:dyDescent="0.25">
      <c r="I98" s="16" t="s">
        <v>161</v>
      </c>
      <c r="J98" s="17">
        <v>6044.3135161103392</v>
      </c>
      <c r="K98" s="17">
        <v>49.6</v>
      </c>
    </row>
    <row r="99" spans="9:11" x14ac:dyDescent="0.25">
      <c r="I99" s="16" t="s">
        <v>162</v>
      </c>
      <c r="J99" s="17">
        <v>3120.7482758370829</v>
      </c>
      <c r="K99" s="17">
        <v>25.3</v>
      </c>
    </row>
    <row r="100" spans="9:11" x14ac:dyDescent="0.25">
      <c r="I100" s="16" t="s">
        <v>163</v>
      </c>
      <c r="J100" s="17">
        <v>3773.5691012096008</v>
      </c>
      <c r="K100" s="17">
        <v>28</v>
      </c>
    </row>
    <row r="101" spans="9:11" x14ac:dyDescent="0.25">
      <c r="I101" s="16" t="s">
        <v>164</v>
      </c>
      <c r="J101" s="17">
        <v>4299.9247113504007</v>
      </c>
      <c r="K101" s="17">
        <v>33</v>
      </c>
    </row>
    <row r="102" spans="9:11" x14ac:dyDescent="0.25">
      <c r="I102" s="16" t="s">
        <v>165</v>
      </c>
      <c r="J102" s="17">
        <v>4609.6666321305611</v>
      </c>
      <c r="K102" s="17">
        <v>36</v>
      </c>
    </row>
    <row r="103" spans="9:11" x14ac:dyDescent="0.25">
      <c r="I103" s="16" t="s">
        <v>166</v>
      </c>
      <c r="J103" s="17">
        <v>5849.6326404495339</v>
      </c>
      <c r="K103" s="17">
        <v>46</v>
      </c>
    </row>
    <row r="104" spans="9:11" x14ac:dyDescent="0.25">
      <c r="I104" s="16" t="s">
        <v>167</v>
      </c>
      <c r="J104" s="17">
        <v>6835.6956260735997</v>
      </c>
      <c r="K104" s="17">
        <v>52</v>
      </c>
    </row>
    <row r="105" spans="9:11" x14ac:dyDescent="0.25">
      <c r="I105" s="16" t="s">
        <v>168</v>
      </c>
      <c r="J105" s="17">
        <v>7642.749546432</v>
      </c>
      <c r="K105" s="17">
        <v>60</v>
      </c>
    </row>
    <row r="106" spans="9:11" x14ac:dyDescent="0.25">
      <c r="I106" s="16" t="s">
        <v>169</v>
      </c>
      <c r="J106" s="17">
        <v>8827.3550129721389</v>
      </c>
      <c r="K106" s="17">
        <v>69.400000000000006</v>
      </c>
    </row>
    <row r="107" spans="9:11" x14ac:dyDescent="0.25">
      <c r="I107" s="16" t="s">
        <v>170</v>
      </c>
      <c r="J107" s="17">
        <v>2255.9922177070193</v>
      </c>
      <c r="K107" s="17">
        <v>18.100000000000001</v>
      </c>
    </row>
    <row r="108" spans="9:11" x14ac:dyDescent="0.25">
      <c r="I108" s="16" t="s">
        <v>171</v>
      </c>
      <c r="J108" s="17">
        <v>2942.1675801838282</v>
      </c>
      <c r="K108" s="17">
        <v>24.9</v>
      </c>
    </row>
    <row r="109" spans="9:11" x14ac:dyDescent="0.25">
      <c r="I109" s="16" t="s">
        <v>172</v>
      </c>
      <c r="J109" s="17">
        <v>3798.0063055052797</v>
      </c>
      <c r="K109" s="17">
        <v>32</v>
      </c>
    </row>
    <row r="110" spans="9:11" x14ac:dyDescent="0.25">
      <c r="I110" s="16" t="s">
        <v>173</v>
      </c>
      <c r="J110" s="17">
        <v>4655.204144669794</v>
      </c>
      <c r="K110" s="17">
        <v>36.700000000000003</v>
      </c>
    </row>
    <row r="111" spans="9:11" x14ac:dyDescent="0.25">
      <c r="I111" s="16" t="s">
        <v>174</v>
      </c>
      <c r="J111" s="17">
        <v>5847.6315341845993</v>
      </c>
      <c r="K111" s="17">
        <v>50.1</v>
      </c>
    </row>
    <row r="112" spans="9:11" x14ac:dyDescent="0.25">
      <c r="I112" s="16" t="s">
        <v>175</v>
      </c>
      <c r="J112" s="17">
        <v>2284.6418914176002</v>
      </c>
      <c r="K112" s="17">
        <v>18</v>
      </c>
    </row>
    <row r="113" spans="9:11" x14ac:dyDescent="0.25">
      <c r="I113" s="16" t="s">
        <v>176</v>
      </c>
      <c r="J113" s="17">
        <v>2998.3813567669499</v>
      </c>
      <c r="K113" s="17">
        <v>24.5</v>
      </c>
    </row>
    <row r="114" spans="9:11" x14ac:dyDescent="0.25">
      <c r="I114" s="16" t="s">
        <v>177</v>
      </c>
      <c r="J114" s="17">
        <v>3717.7577261440001</v>
      </c>
      <c r="K114" s="17">
        <v>28</v>
      </c>
    </row>
    <row r="115" spans="9:11" x14ac:dyDescent="0.25">
      <c r="I115" s="16" t="s">
        <v>178</v>
      </c>
      <c r="J115" s="17">
        <v>4541.4893107584003</v>
      </c>
      <c r="K115" s="17">
        <v>36</v>
      </c>
    </row>
    <row r="116" spans="9:11" x14ac:dyDescent="0.25">
      <c r="I116" s="16" t="s">
        <v>179</v>
      </c>
      <c r="J116" s="17">
        <v>6145.8986172214372</v>
      </c>
      <c r="K116" s="17">
        <v>49.6</v>
      </c>
    </row>
    <row r="117" spans="9:11" x14ac:dyDescent="0.25">
      <c r="I117" s="16" t="s">
        <v>180</v>
      </c>
      <c r="J117" s="17">
        <v>3223.9135080961601</v>
      </c>
      <c r="K117" s="17">
        <v>25.3</v>
      </c>
    </row>
    <row r="118" spans="9:11" x14ac:dyDescent="0.25">
      <c r="I118" s="16" t="s">
        <v>181</v>
      </c>
      <c r="J118" s="17">
        <v>3898.3151872000008</v>
      </c>
      <c r="K118" s="17">
        <v>28</v>
      </c>
    </row>
    <row r="119" spans="9:11" x14ac:dyDescent="0.25">
      <c r="I119" s="16" t="s">
        <v>182</v>
      </c>
      <c r="J119" s="17">
        <v>4442.0709828000008</v>
      </c>
      <c r="K119" s="17">
        <v>33</v>
      </c>
    </row>
    <row r="120" spans="9:11" x14ac:dyDescent="0.25">
      <c r="I120" s="16" t="s">
        <v>183</v>
      </c>
      <c r="J120" s="17">
        <v>4762.0523059200013</v>
      </c>
      <c r="K120" s="17">
        <v>36</v>
      </c>
    </row>
    <row r="121" spans="9:11" x14ac:dyDescent="0.25">
      <c r="I121" s="16" t="s">
        <v>184</v>
      </c>
      <c r="J121" s="17">
        <v>6043.0089260842296</v>
      </c>
      <c r="K121" s="17">
        <v>46</v>
      </c>
    </row>
    <row r="122" spans="9:11" x14ac:dyDescent="0.25">
      <c r="I122" s="16" t="s">
        <v>185</v>
      </c>
      <c r="J122" s="17">
        <v>7061.6690351999996</v>
      </c>
      <c r="K122" s="17">
        <v>52</v>
      </c>
    </row>
    <row r="123" spans="9:11" x14ac:dyDescent="0.25">
      <c r="I123" s="16" t="s">
        <v>186</v>
      </c>
      <c r="J123" s="17">
        <v>7895.4024239999999</v>
      </c>
      <c r="K123" s="17">
        <v>60</v>
      </c>
    </row>
    <row r="124" spans="9:11" x14ac:dyDescent="0.25">
      <c r="I124" s="16" t="s">
        <v>187</v>
      </c>
      <c r="J124" s="17">
        <v>9119.1684018307224</v>
      </c>
      <c r="K124" s="17">
        <v>69.400000000000006</v>
      </c>
    </row>
    <row r="125" spans="9:11" x14ac:dyDescent="0.25">
      <c r="I125" s="16" t="s">
        <v>188</v>
      </c>
      <c r="J125" s="17">
        <v>2330.57047283783</v>
      </c>
      <c r="K125" s="17">
        <v>18.100000000000001</v>
      </c>
    </row>
    <row r="126" spans="9:11" x14ac:dyDescent="0.25">
      <c r="I126" s="16" t="s">
        <v>189</v>
      </c>
      <c r="J126" s="17">
        <v>3039.4293183717236</v>
      </c>
      <c r="K126" s="17">
        <v>24.9</v>
      </c>
    </row>
    <row r="127" spans="9:11" x14ac:dyDescent="0.25">
      <c r="I127" s="16" t="s">
        <v>190</v>
      </c>
      <c r="J127" s="17">
        <v>3923.5602329599997</v>
      </c>
      <c r="K127" s="17">
        <v>32</v>
      </c>
    </row>
    <row r="128" spans="9:11" x14ac:dyDescent="0.25">
      <c r="I128" s="16" t="s">
        <v>191</v>
      </c>
      <c r="J128" s="17">
        <v>4809.0951907745803</v>
      </c>
      <c r="K128" s="17">
        <v>36.700000000000003</v>
      </c>
    </row>
    <row r="129" spans="9:11" x14ac:dyDescent="0.25">
      <c r="I129" s="16" t="s">
        <v>192</v>
      </c>
      <c r="J129" s="17">
        <v>6040.9416675460743</v>
      </c>
      <c r="K129" s="17">
        <v>50.1</v>
      </c>
    </row>
    <row r="130" spans="9:11" x14ac:dyDescent="0.25">
      <c r="I130" s="16" t="s">
        <v>193</v>
      </c>
      <c r="J130" s="17">
        <v>2360.1672432</v>
      </c>
      <c r="K130" s="17">
        <v>18</v>
      </c>
    </row>
    <row r="131" spans="9:11" x14ac:dyDescent="0.25">
      <c r="I131" s="16" t="s">
        <v>194</v>
      </c>
      <c r="J131" s="17">
        <v>3097.5014016187502</v>
      </c>
      <c r="K131" s="17">
        <v>24.5</v>
      </c>
    </row>
    <row r="132" spans="9:11" x14ac:dyDescent="0.25">
      <c r="I132" s="16" t="s">
        <v>195</v>
      </c>
      <c r="J132" s="17">
        <v>3840.6588080000001</v>
      </c>
      <c r="K132" s="17">
        <v>28</v>
      </c>
    </row>
    <row r="133" spans="9:11" x14ac:dyDescent="0.25">
      <c r="I133" s="16" t="s">
        <v>196</v>
      </c>
      <c r="J133" s="17">
        <v>4691.6211888000007</v>
      </c>
      <c r="K133" s="17">
        <v>36</v>
      </c>
    </row>
    <row r="134" spans="9:11" x14ac:dyDescent="0.25">
      <c r="I134" s="16" t="s">
        <v>197</v>
      </c>
      <c r="J134" s="17">
        <v>6349.0688194436334</v>
      </c>
      <c r="K134" s="17">
        <v>49.6</v>
      </c>
    </row>
    <row r="135" spans="9:11" x14ac:dyDescent="0.25">
      <c r="I135" s="16" t="s">
        <v>198</v>
      </c>
      <c r="J135" s="17">
        <v>3320.630913339045</v>
      </c>
      <c r="K135" s="17">
        <v>25.3</v>
      </c>
    </row>
    <row r="136" spans="9:11" x14ac:dyDescent="0.25">
      <c r="I136" s="16" t="s">
        <v>199</v>
      </c>
      <c r="J136" s="17">
        <v>4015.264642816001</v>
      </c>
      <c r="K136" s="17">
        <v>28</v>
      </c>
    </row>
    <row r="137" spans="9:11" x14ac:dyDescent="0.25">
      <c r="I137" s="16" t="s">
        <v>200</v>
      </c>
      <c r="J137" s="17">
        <v>4575.3331122840009</v>
      </c>
      <c r="K137" s="17">
        <v>33</v>
      </c>
    </row>
    <row r="138" spans="9:11" x14ac:dyDescent="0.25">
      <c r="I138" s="16" t="s">
        <v>201</v>
      </c>
      <c r="J138" s="17">
        <v>4904.9138750976017</v>
      </c>
      <c r="K138" s="17">
        <v>36</v>
      </c>
    </row>
    <row r="139" spans="9:11" x14ac:dyDescent="0.25">
      <c r="I139" s="16" t="s">
        <v>202</v>
      </c>
      <c r="J139" s="17">
        <v>6224.2991938667565</v>
      </c>
      <c r="K139" s="17">
        <v>46</v>
      </c>
    </row>
    <row r="140" spans="9:11" x14ac:dyDescent="0.25">
      <c r="I140" s="16" t="s">
        <v>203</v>
      </c>
      <c r="J140" s="17">
        <v>7273.5191062559998</v>
      </c>
      <c r="K140" s="17">
        <v>52</v>
      </c>
    </row>
    <row r="141" spans="9:11" x14ac:dyDescent="0.25">
      <c r="I141" s="16" t="s">
        <v>204</v>
      </c>
      <c r="J141" s="17">
        <v>8132.2644967200004</v>
      </c>
      <c r="K141" s="17">
        <v>60</v>
      </c>
    </row>
    <row r="142" spans="9:11" x14ac:dyDescent="0.25">
      <c r="I142" s="16" t="s">
        <v>205</v>
      </c>
      <c r="J142" s="17">
        <v>9392.7434538856451</v>
      </c>
      <c r="K142" s="17">
        <v>69.400000000000006</v>
      </c>
    </row>
    <row r="143" spans="9:11" x14ac:dyDescent="0.25">
      <c r="I143" s="16" t="s">
        <v>206</v>
      </c>
      <c r="J143" s="17">
        <v>2400.4875870229648</v>
      </c>
      <c r="K143" s="17">
        <v>18.100000000000001</v>
      </c>
    </row>
    <row r="144" spans="9:11" x14ac:dyDescent="0.25">
      <c r="I144" s="16" t="s">
        <v>207</v>
      </c>
      <c r="J144" s="17">
        <v>3130.6121979228756</v>
      </c>
      <c r="K144" s="17">
        <v>24.9</v>
      </c>
    </row>
    <row r="145" spans="9:11" x14ac:dyDescent="0.25">
      <c r="I145" s="16" t="s">
        <v>208</v>
      </c>
      <c r="J145" s="17">
        <v>4041.2670399487997</v>
      </c>
      <c r="K145" s="17">
        <v>32</v>
      </c>
    </row>
    <row r="146" spans="9:11" x14ac:dyDescent="0.25">
      <c r="I146" s="16" t="s">
        <v>209</v>
      </c>
      <c r="J146" s="17">
        <v>4953.3680464978179</v>
      </c>
      <c r="K146" s="17">
        <v>36.700000000000003</v>
      </c>
    </row>
    <row r="147" spans="9:11" x14ac:dyDescent="0.25">
      <c r="I147" s="16" t="s">
        <v>210</v>
      </c>
      <c r="J147" s="17">
        <v>6222.1699175724571</v>
      </c>
      <c r="K147" s="17">
        <v>50.1</v>
      </c>
    </row>
    <row r="148" spans="9:11" x14ac:dyDescent="0.25">
      <c r="I148" s="16" t="s">
        <v>211</v>
      </c>
      <c r="J148" s="17">
        <v>2430.9722604960002</v>
      </c>
      <c r="K148" s="17">
        <v>18</v>
      </c>
    </row>
    <row r="149" spans="9:11" x14ac:dyDescent="0.25">
      <c r="I149" s="16" t="s">
        <v>212</v>
      </c>
      <c r="J149" s="17">
        <v>3190.4264436673129</v>
      </c>
      <c r="K149" s="17">
        <v>24.5</v>
      </c>
    </row>
    <row r="150" spans="9:11" x14ac:dyDescent="0.25">
      <c r="I150" s="16" t="s">
        <v>213</v>
      </c>
      <c r="J150" s="17">
        <v>3955.8785722400003</v>
      </c>
      <c r="K150" s="17">
        <v>28</v>
      </c>
    </row>
    <row r="151" spans="9:11" x14ac:dyDescent="0.25">
      <c r="I151" s="16" t="s">
        <v>214</v>
      </c>
      <c r="J151" s="17">
        <v>4832.3698244640009</v>
      </c>
      <c r="K151" s="17">
        <v>36</v>
      </c>
    </row>
    <row r="152" spans="9:11" x14ac:dyDescent="0.25">
      <c r="I152" s="16" t="s">
        <v>215</v>
      </c>
      <c r="J152" s="17">
        <v>6539.5408840269429</v>
      </c>
      <c r="K152" s="17">
        <v>49.6</v>
      </c>
    </row>
  </sheetData>
  <sheetProtection algorithmName="SHA-512" hashValue="HFnDkwOAQcfGudrKyZCF5YOMAvRf6mRBgzw7py+GqiF4RJw4I7JYCqSauR4A0wlvYO+pfGf+w94+97Av20/TpQ==" saltValue="Pdzik7e7feDfd1Tc/Bgxwg==" spinCount="100000" sheet="1" selectLockedCells="1"/>
  <mergeCells count="4">
    <mergeCell ref="BI5:BK5"/>
    <mergeCell ref="BI6:BK6"/>
    <mergeCell ref="BI7:BK7"/>
    <mergeCell ref="A52:D55"/>
  </mergeCells>
  <conditionalFormatting sqref="C44">
    <cfRule type="cellIs" dxfId="152" priority="2" operator="greaterThan">
      <formula>$F$44</formula>
    </cfRule>
  </conditionalFormatting>
  <conditionalFormatting sqref="C45">
    <cfRule type="cellIs" dxfId="151" priority="1" operator="greaterThan">
      <formula>$F$45</formula>
    </cfRule>
  </conditionalFormatting>
  <dataValidations count="4">
    <dataValidation type="list" allowBlank="1" showInputMessage="1" showErrorMessage="1" sqref="C43" xr:uid="{584D1236-98A4-4EF3-8124-F0AC01DDB5E9}">
      <formula1>$V$88:$V$89</formula1>
    </dataValidation>
    <dataValidation type="list" allowBlank="1" showInputMessage="1" showErrorMessage="1" sqref="C18" xr:uid="{1F763D53-3295-456F-9C97-6DB02156BE6F}">
      <formula1>$O$88:$O$90</formula1>
    </dataValidation>
    <dataValidation type="list" allowBlank="1" showInputMessage="1" showErrorMessage="1" sqref="C17" xr:uid="{F9E59981-B806-40B9-AE02-3D76EF763280}">
      <formula1>$N$88:$N$92</formula1>
    </dataValidation>
    <dataValidation type="list" allowBlank="1" showInputMessage="1" showErrorMessage="1" sqref="C21" xr:uid="{20EDDF79-A46E-4A22-A1A2-33BD03F31C30}">
      <formula1>$I$81:$I$152</formula1>
    </dataValidation>
  </dataValidations>
  <pageMargins left="0.45" right="0.45" top="0.5" bottom="0.5" header="0.3" footer="0.3"/>
  <pageSetup scale="89" orientation="portrait" horizontalDpi="1200" verticalDpi="12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PBL</vt:lpstr>
      <vt:lpstr>PBLU</vt:lpstr>
      <vt:lpstr>PBLX</vt:lpstr>
      <vt:lpstr>PBL A</vt:lpstr>
      <vt:lpstr>EBL</vt:lpstr>
      <vt:lpstr>WVL2</vt:lpstr>
      <vt:lpstr>WVL4</vt:lpstr>
      <vt:lpstr>NVL</vt:lpstr>
      <vt:lpstr>FFL</vt:lpstr>
      <vt:lpstr>FFL2R</vt:lpstr>
      <vt:lpstr>FFL2RHO</vt:lpstr>
      <vt:lpstr>FFR</vt:lpstr>
      <vt:lpstr>ECL</vt:lpstr>
      <vt:lpstr>RCL</vt:lpstr>
      <vt:lpstr>ATL</vt:lpstr>
      <vt:lpstr>ETL</vt:lpstr>
      <vt:lpstr>PTL</vt:lpstr>
      <vt:lpstr>FPL</vt:lpstr>
      <vt:lpstr>RCL S</vt:lpstr>
      <vt:lpstr>ECL N</vt:lpstr>
      <vt:lpstr>EWL</vt:lpstr>
      <vt:lpstr>ATL!Print_Area</vt:lpstr>
      <vt:lpstr>EBL!Print_Area</vt:lpstr>
      <vt:lpstr>ECL!Print_Area</vt:lpstr>
      <vt:lpstr>'ECL N'!Print_Area</vt:lpstr>
      <vt:lpstr>ETL!Print_Area</vt:lpstr>
      <vt:lpstr>EWL!Print_Area</vt:lpstr>
      <vt:lpstr>FFL!Print_Area</vt:lpstr>
      <vt:lpstr>FFL2R!Print_Area</vt:lpstr>
      <vt:lpstr>FFL2RHO!Print_Area</vt:lpstr>
      <vt:lpstr>FFR!Print_Area</vt:lpstr>
      <vt:lpstr>FPL!Print_Area</vt:lpstr>
      <vt:lpstr>NVL!Print_Area</vt:lpstr>
      <vt:lpstr>PBL!Print_Area</vt:lpstr>
      <vt:lpstr>'PBL A'!Print_Area</vt:lpstr>
      <vt:lpstr>PBLU!Print_Area</vt:lpstr>
      <vt:lpstr>PBLX!Print_Area</vt:lpstr>
      <vt:lpstr>PTL!Print_Area</vt:lpstr>
      <vt:lpstr>RCL!Print_Area</vt:lpstr>
      <vt:lpstr>'RCL S'!Print_Area</vt:lpstr>
      <vt:lpstr>'WVL2'!Print_Area</vt:lpstr>
      <vt:lpstr>'WVL4'!Print_Area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Phillips</dc:creator>
  <cp:lastModifiedBy>EricRobinson</cp:lastModifiedBy>
  <cp:lastPrinted>2018-06-27T19:43:28Z</cp:lastPrinted>
  <dcterms:created xsi:type="dcterms:W3CDTF">2018-04-03T16:55:23Z</dcterms:created>
  <dcterms:modified xsi:type="dcterms:W3CDTF">2019-03-19T17:17:48Z</dcterms:modified>
</cp:coreProperties>
</file>